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E:\Dropbox (BIWS)\BIWS-All-Courses\10-Fundamentals-2021-Revision\12-LBO-Concepts-Simple-Models\12-15-90-Minute-LBO-Part-4-Debt-Schedule\"/>
    </mc:Choice>
  </mc:AlternateContent>
  <xr:revisionPtr revIDLastSave="0" documentId="13_ncr:1_{5610D7A8-BC7D-45B4-81AF-01E481C6E65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BO_90_Minutes" sheetId="1" r:id="rId1"/>
  </sheets>
  <definedNames>
    <definedName name="Company_Name">LBO_90_Minutes!$E$7</definedName>
    <definedName name="Hist_Year">LBO_90_Minutes!$E$15</definedName>
    <definedName name="LTM_EBITDA">LBO_90_Minutes!$L$14</definedName>
    <definedName name="Mezz_Equity_Pct">LBO_90_Minutes!$J$48</definedName>
    <definedName name="Mezz_Investment">LBO_90_Minutes!$D$36</definedName>
    <definedName name="Mgmt_Option_Pool">LBO_90_Minutes!$L$17</definedName>
    <definedName name="Min_Cash">LBO_90_Minutes!$L$18</definedName>
    <definedName name="_xlnm.Print_Area" localSheetId="0">LBO_90_Minutes!$A$1:$N$254</definedName>
    <definedName name="Purchase_Multiple">LBO_90_Minutes!$L$15</definedName>
    <definedName name="Sponsor_Equity">LBO_90_Minutes!$D$38</definedName>
    <definedName name="Units">LBO_90_Minutes!$E$16</definedName>
  </definedNames>
  <calcPr calcId="191029" calcMode="autoNoTable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5" i="1" l="1"/>
  <c r="I130" i="1"/>
  <c r="I127" i="1"/>
  <c r="I115" i="1"/>
  <c r="I114" i="1"/>
  <c r="I185" i="1"/>
  <c r="I184" i="1"/>
  <c r="I183" i="1"/>
  <c r="I167" i="1"/>
  <c r="I160" i="1"/>
  <c r="M148" i="1"/>
  <c r="L148" i="1"/>
  <c r="K148" i="1"/>
  <c r="J148" i="1"/>
  <c r="M147" i="1"/>
  <c r="L147" i="1"/>
  <c r="K147" i="1"/>
  <c r="J147" i="1"/>
  <c r="M146" i="1"/>
  <c r="L146" i="1"/>
  <c r="K146" i="1"/>
  <c r="J146" i="1"/>
  <c r="I148" i="1"/>
  <c r="I147" i="1"/>
  <c r="I146" i="1"/>
  <c r="M145" i="1"/>
  <c r="L145" i="1"/>
  <c r="K145" i="1"/>
  <c r="J145" i="1"/>
  <c r="I145" i="1"/>
  <c r="M144" i="1"/>
  <c r="L144" i="1"/>
  <c r="K144" i="1"/>
  <c r="J144" i="1"/>
  <c r="I144" i="1"/>
  <c r="H159" i="1"/>
  <c r="I157" i="1"/>
  <c r="M154" i="1"/>
  <c r="L154" i="1"/>
  <c r="K154" i="1"/>
  <c r="J154" i="1"/>
  <c r="I154" i="1"/>
  <c r="I153" i="1"/>
  <c r="I151" i="1"/>
  <c r="I133" i="1"/>
  <c r="H136" i="1"/>
  <c r="I179" i="1"/>
  <c r="I177" i="1"/>
  <c r="I178" i="1" s="1"/>
  <c r="J176" i="1" s="1"/>
  <c r="I176" i="1"/>
  <c r="I173" i="1"/>
  <c r="I172" i="1"/>
  <c r="J170" i="1" s="1"/>
  <c r="I171" i="1"/>
  <c r="I170" i="1"/>
  <c r="I164" i="1"/>
  <c r="I163" i="1"/>
  <c r="H178" i="1"/>
  <c r="H172" i="1"/>
  <c r="H166" i="1"/>
  <c r="J173" i="1" l="1"/>
  <c r="J171" i="1"/>
  <c r="J172" i="1" s="1"/>
  <c r="K170" i="1" s="1"/>
  <c r="J179" i="1"/>
  <c r="J177" i="1"/>
  <c r="J178" i="1"/>
  <c r="K176" i="1" s="1"/>
  <c r="K171" i="1" l="1"/>
  <c r="K173" i="1"/>
  <c r="K172" i="1"/>
  <c r="L170" i="1" s="1"/>
  <c r="K179" i="1"/>
  <c r="K177" i="1"/>
  <c r="K178" i="1"/>
  <c r="L176" i="1" s="1"/>
  <c r="L179" i="1" l="1"/>
  <c r="L177" i="1"/>
  <c r="L178" i="1" s="1"/>
  <c r="M176" i="1" s="1"/>
  <c r="L173" i="1"/>
  <c r="L171" i="1"/>
  <c r="L172" i="1"/>
  <c r="M170" i="1" s="1"/>
  <c r="M179" i="1" l="1"/>
  <c r="M177" i="1"/>
  <c r="M178" i="1" s="1"/>
  <c r="M173" i="1"/>
  <c r="M171" i="1"/>
  <c r="M172" i="1" s="1"/>
  <c r="M129" i="1" l="1"/>
  <c r="L129" i="1"/>
  <c r="K129" i="1"/>
  <c r="J129" i="1"/>
  <c r="I129" i="1"/>
  <c r="J126" i="1"/>
  <c r="K126" i="1"/>
  <c r="L126" i="1"/>
  <c r="M126" i="1"/>
  <c r="J124" i="1"/>
  <c r="K124" i="1"/>
  <c r="L124" i="1"/>
  <c r="M124" i="1"/>
  <c r="I126" i="1"/>
  <c r="I124" i="1"/>
  <c r="J86" i="1"/>
  <c r="K86" i="1"/>
  <c r="L86" i="1"/>
  <c r="M86" i="1"/>
  <c r="I86" i="1"/>
  <c r="J77" i="1"/>
  <c r="K77" i="1"/>
  <c r="L77" i="1"/>
  <c r="M77" i="1"/>
  <c r="I77" i="1"/>
  <c r="J125" i="1"/>
  <c r="K125" i="1"/>
  <c r="L125" i="1"/>
  <c r="M125" i="1"/>
  <c r="I125" i="1"/>
  <c r="I76" i="1"/>
  <c r="J76" i="1"/>
  <c r="K76" i="1"/>
  <c r="L76" i="1"/>
  <c r="M76" i="1"/>
  <c r="J80" i="1"/>
  <c r="K80" i="1"/>
  <c r="L80" i="1"/>
  <c r="M80" i="1"/>
  <c r="J81" i="1"/>
  <c r="K81" i="1"/>
  <c r="L81" i="1"/>
  <c r="M81" i="1"/>
  <c r="I81" i="1"/>
  <c r="I80" i="1"/>
  <c r="I117" i="1"/>
  <c r="I119" i="1" s="1"/>
  <c r="I128" i="1" s="1"/>
  <c r="I131" i="1" s="1"/>
  <c r="J116" i="1"/>
  <c r="K116" i="1"/>
  <c r="L116" i="1"/>
  <c r="M116" i="1"/>
  <c r="J109" i="1"/>
  <c r="J111" i="1" s="1"/>
  <c r="J112" i="1" s="1"/>
  <c r="M108" i="1"/>
  <c r="M109" i="1" s="1"/>
  <c r="M111" i="1" s="1"/>
  <c r="M112" i="1" s="1"/>
  <c r="L108" i="1"/>
  <c r="L109" i="1" s="1"/>
  <c r="L111" i="1" s="1"/>
  <c r="L112" i="1" s="1"/>
  <c r="K108" i="1"/>
  <c r="K109" i="1" s="1"/>
  <c r="K111" i="1" s="1"/>
  <c r="K112" i="1" s="1"/>
  <c r="J108" i="1"/>
  <c r="I109" i="1"/>
  <c r="I111" i="1" s="1"/>
  <c r="I112" i="1" s="1"/>
  <c r="I108" i="1"/>
  <c r="J84" i="1"/>
  <c r="I84" i="1"/>
  <c r="I83" i="1"/>
  <c r="J107" i="1"/>
  <c r="K107" i="1"/>
  <c r="L107" i="1"/>
  <c r="M107" i="1"/>
  <c r="I107" i="1"/>
  <c r="J101" i="1"/>
  <c r="J103" i="1" s="1"/>
  <c r="J104" i="1" s="1"/>
  <c r="K101" i="1"/>
  <c r="K103" i="1" s="1"/>
  <c r="K104" i="1" s="1"/>
  <c r="L101" i="1"/>
  <c r="L103" i="1" s="1"/>
  <c r="L104" i="1" s="1"/>
  <c r="M101" i="1"/>
  <c r="M103" i="1" s="1"/>
  <c r="M104" i="1" s="1"/>
  <c r="J106" i="1"/>
  <c r="K106" i="1"/>
  <c r="L106" i="1"/>
  <c r="M106" i="1"/>
  <c r="I104" i="1"/>
  <c r="I103" i="1"/>
  <c r="I116" i="1"/>
  <c r="I106" i="1"/>
  <c r="I101" i="1"/>
  <c r="J94" i="1"/>
  <c r="K94" i="1"/>
  <c r="L94" i="1"/>
  <c r="M94" i="1"/>
  <c r="J95" i="1"/>
  <c r="K95" i="1"/>
  <c r="L95" i="1"/>
  <c r="L97" i="1" s="1"/>
  <c r="M95" i="1"/>
  <c r="J96" i="1"/>
  <c r="K96" i="1"/>
  <c r="K97" i="1" s="1"/>
  <c r="L96" i="1"/>
  <c r="L98" i="1" s="1"/>
  <c r="I99" i="1"/>
  <c r="I98" i="1"/>
  <c r="I97" i="1"/>
  <c r="I96" i="1"/>
  <c r="I95" i="1"/>
  <c r="J65" i="1"/>
  <c r="K65" i="1" s="1"/>
  <c r="L65" i="1" s="1"/>
  <c r="M65" i="1" s="1"/>
  <c r="I65" i="1"/>
  <c r="J61" i="1"/>
  <c r="K61" i="1"/>
  <c r="L61" i="1"/>
  <c r="M61" i="1"/>
  <c r="I61" i="1"/>
  <c r="I94" i="1"/>
  <c r="M54" i="1"/>
  <c r="L54" i="1"/>
  <c r="K54" i="1"/>
  <c r="J54" i="1"/>
  <c r="I54" i="1"/>
  <c r="J55" i="1"/>
  <c r="K55" i="1"/>
  <c r="L55" i="1" s="1"/>
  <c r="M55" i="1" s="1"/>
  <c r="J58" i="1"/>
  <c r="K58" i="1" s="1"/>
  <c r="L58" i="1" s="1"/>
  <c r="M58" i="1" s="1"/>
  <c r="I58" i="1"/>
  <c r="I55" i="1"/>
  <c r="I152" i="1" l="1"/>
  <c r="I155" i="1" s="1"/>
  <c r="I134" i="1"/>
  <c r="I136" i="1" s="1"/>
  <c r="J133" i="1" s="1"/>
  <c r="J83" i="1"/>
  <c r="M97" i="1"/>
  <c r="K98" i="1"/>
  <c r="J97" i="1"/>
  <c r="J98" i="1" s="1"/>
  <c r="J99" i="1" s="1"/>
  <c r="M96" i="1"/>
  <c r="J185" i="1" l="1"/>
  <c r="J151" i="1"/>
  <c r="I158" i="1"/>
  <c r="K84" i="1"/>
  <c r="K83" i="1" s="1"/>
  <c r="K99" i="1"/>
  <c r="L99" i="1"/>
  <c r="M98" i="1"/>
  <c r="M99" i="1" s="1"/>
  <c r="J115" i="1" l="1"/>
  <c r="J130" i="1"/>
  <c r="I159" i="1"/>
  <c r="J157" i="1" s="1"/>
  <c r="J160" i="1" s="1"/>
  <c r="I165" i="1"/>
  <c r="I166" i="1" s="1"/>
  <c r="J163" i="1" s="1"/>
  <c r="L84" i="1"/>
  <c r="L83" i="1" s="1"/>
  <c r="J167" i="1" l="1"/>
  <c r="J183" i="1" s="1"/>
  <c r="J164" i="1"/>
  <c r="J153" i="1" s="1"/>
  <c r="I182" i="1"/>
  <c r="M84" i="1"/>
  <c r="M83" i="1" s="1"/>
  <c r="J184" i="1" l="1"/>
  <c r="J114" i="1" s="1"/>
  <c r="J117" i="1" s="1"/>
  <c r="J119" i="1" s="1"/>
  <c r="J128" i="1" s="1"/>
  <c r="J127" i="1"/>
  <c r="K89" i="1"/>
  <c r="L89" i="1" s="1"/>
  <c r="M89" i="1" s="1"/>
  <c r="J89" i="1"/>
  <c r="I89" i="1"/>
  <c r="K87" i="1"/>
  <c r="L87" i="1" s="1"/>
  <c r="M87" i="1" s="1"/>
  <c r="J87" i="1"/>
  <c r="I87" i="1"/>
  <c r="K73" i="1"/>
  <c r="L73" i="1" s="1"/>
  <c r="M73" i="1" s="1"/>
  <c r="J73" i="1"/>
  <c r="I73" i="1"/>
  <c r="K69" i="1"/>
  <c r="L69" i="1" s="1"/>
  <c r="M69" i="1" s="1"/>
  <c r="J69" i="1"/>
  <c r="I69" i="1"/>
  <c r="J64" i="1"/>
  <c r="K64" i="1" s="1"/>
  <c r="L64" i="1" s="1"/>
  <c r="M64" i="1" s="1"/>
  <c r="I64" i="1"/>
  <c r="H83" i="1"/>
  <c r="H89" i="1"/>
  <c r="G89" i="1"/>
  <c r="F89" i="1"/>
  <c r="E89" i="1"/>
  <c r="H87" i="1"/>
  <c r="G87" i="1"/>
  <c r="E87" i="1"/>
  <c r="F87" i="1"/>
  <c r="F81" i="1"/>
  <c r="G81" i="1"/>
  <c r="H81" i="1"/>
  <c r="E81" i="1"/>
  <c r="H80" i="1"/>
  <c r="G80" i="1"/>
  <c r="F80" i="1"/>
  <c r="F79" i="1"/>
  <c r="G79" i="1"/>
  <c r="H79" i="1"/>
  <c r="E79" i="1"/>
  <c r="F77" i="1"/>
  <c r="G77" i="1"/>
  <c r="H77" i="1"/>
  <c r="E77" i="1"/>
  <c r="H76" i="1"/>
  <c r="G76" i="1"/>
  <c r="F76" i="1"/>
  <c r="F75" i="1"/>
  <c r="G75" i="1"/>
  <c r="H75" i="1"/>
  <c r="E75" i="1"/>
  <c r="G68" i="1"/>
  <c r="H68" i="1"/>
  <c r="G69" i="1"/>
  <c r="H69" i="1"/>
  <c r="G71" i="1"/>
  <c r="H71" i="1"/>
  <c r="G72" i="1"/>
  <c r="H72" i="1"/>
  <c r="G73" i="1"/>
  <c r="H73" i="1"/>
  <c r="F71" i="1"/>
  <c r="F72" i="1"/>
  <c r="F73" i="1"/>
  <c r="E73" i="1"/>
  <c r="E72" i="1"/>
  <c r="E71" i="1"/>
  <c r="F69" i="1"/>
  <c r="E69" i="1"/>
  <c r="F68" i="1"/>
  <c r="G66" i="1"/>
  <c r="H66" i="1"/>
  <c r="F66" i="1"/>
  <c r="H65" i="1"/>
  <c r="G65" i="1"/>
  <c r="F65" i="1"/>
  <c r="E65" i="1"/>
  <c r="H62" i="1"/>
  <c r="G62" i="1"/>
  <c r="F62" i="1"/>
  <c r="E62" i="1"/>
  <c r="G59" i="1"/>
  <c r="H59" i="1"/>
  <c r="F59" i="1"/>
  <c r="H58" i="1"/>
  <c r="G58" i="1"/>
  <c r="F58" i="1"/>
  <c r="E58" i="1"/>
  <c r="H54" i="1"/>
  <c r="G54" i="1"/>
  <c r="F54" i="1"/>
  <c r="F39" i="1"/>
  <c r="F38" i="1"/>
  <c r="F37" i="1"/>
  <c r="F36" i="1"/>
  <c r="F35" i="1"/>
  <c r="F34" i="1"/>
  <c r="F33" i="1"/>
  <c r="E39" i="1"/>
  <c r="E38" i="1"/>
  <c r="E37" i="1"/>
  <c r="D39" i="1"/>
  <c r="D38" i="1"/>
  <c r="D37" i="1"/>
  <c r="L38" i="1"/>
  <c r="L37" i="1"/>
  <c r="L36" i="1"/>
  <c r="L35" i="1"/>
  <c r="L34" i="1"/>
  <c r="L33" i="1"/>
  <c r="K38" i="1"/>
  <c r="K37" i="1"/>
  <c r="K36" i="1"/>
  <c r="D36" i="1"/>
  <c r="D35" i="1"/>
  <c r="D34" i="1"/>
  <c r="D33" i="1"/>
  <c r="K35" i="1"/>
  <c r="K34" i="1"/>
  <c r="K33" i="1"/>
  <c r="L26" i="1"/>
  <c r="L24" i="1"/>
  <c r="L21" i="1"/>
  <c r="L15" i="1"/>
  <c r="L14" i="1"/>
  <c r="L12" i="1"/>
  <c r="L7" i="1"/>
  <c r="E12" i="1"/>
  <c r="J131" i="1" l="1"/>
  <c r="E54" i="1"/>
  <c r="J152" i="1" l="1"/>
  <c r="J155" i="1" s="1"/>
  <c r="J158" i="1" s="1"/>
  <c r="J134" i="1"/>
  <c r="F99" i="1"/>
  <c r="G99" i="1"/>
  <c r="H99" i="1"/>
  <c r="E104" i="1"/>
  <c r="F104" i="1"/>
  <c r="G104" i="1"/>
  <c r="H104" i="1"/>
  <c r="D188" i="1"/>
  <c r="D139" i="1"/>
  <c r="D122" i="1"/>
  <c r="D92" i="1"/>
  <c r="D52" i="1"/>
  <c r="J165" i="1" l="1"/>
  <c r="J166" i="1" s="1"/>
  <c r="K163" i="1" s="1"/>
  <c r="J159" i="1"/>
  <c r="K157" i="1" s="1"/>
  <c r="K160" i="1" s="1"/>
  <c r="L22" i="1"/>
  <c r="J182" i="1" l="1"/>
  <c r="J135" i="1" s="1"/>
  <c r="J136" i="1" s="1"/>
  <c r="K133" i="1" s="1"/>
  <c r="K167" i="1"/>
  <c r="K183" i="1" s="1"/>
  <c r="K164" i="1"/>
  <c r="K153" i="1" s="1"/>
  <c r="H86" i="1"/>
  <c r="H126" i="1" s="1"/>
  <c r="G86" i="1"/>
  <c r="G126" i="1" s="1"/>
  <c r="F86" i="1"/>
  <c r="F126" i="1" s="1"/>
  <c r="E86" i="1"/>
  <c r="E126" i="1" s="1"/>
  <c r="H130" i="1"/>
  <c r="G130" i="1"/>
  <c r="F130" i="1"/>
  <c r="H129" i="1"/>
  <c r="G129" i="1"/>
  <c r="F129" i="1"/>
  <c r="H127" i="1"/>
  <c r="G127" i="1"/>
  <c r="F127" i="1"/>
  <c r="E130" i="1"/>
  <c r="E129" i="1"/>
  <c r="E127" i="1"/>
  <c r="E125" i="1"/>
  <c r="F125" i="1"/>
  <c r="G125" i="1"/>
  <c r="H125" i="1"/>
  <c r="E68" i="1"/>
  <c r="F61" i="1"/>
  <c r="G61" i="1"/>
  <c r="E55" i="1"/>
  <c r="F55" i="1"/>
  <c r="G55" i="1"/>
  <c r="H55" i="1"/>
  <c r="K185" i="1" l="1"/>
  <c r="K151" i="1"/>
  <c r="K127" i="1"/>
  <c r="K184" i="1"/>
  <c r="K114" i="1" s="1"/>
  <c r="H56" i="1"/>
  <c r="E56" i="1"/>
  <c r="G56" i="1"/>
  <c r="F56" i="1"/>
  <c r="E117" i="1"/>
  <c r="F117" i="1"/>
  <c r="F109" i="1"/>
  <c r="E109" i="1"/>
  <c r="E98" i="1"/>
  <c r="H117" i="1"/>
  <c r="G117" i="1"/>
  <c r="L8" i="1"/>
  <c r="L9" i="1"/>
  <c r="H109" i="1"/>
  <c r="G109" i="1"/>
  <c r="F103" i="1"/>
  <c r="B2" i="1"/>
  <c r="K115" i="1" l="1"/>
  <c r="K117" i="1" s="1"/>
  <c r="K119" i="1" s="1"/>
  <c r="K128" i="1" s="1"/>
  <c r="K131" i="1" s="1"/>
  <c r="K130" i="1"/>
  <c r="E103" i="1"/>
  <c r="F111" i="1"/>
  <c r="F112" i="1" s="1"/>
  <c r="H103" i="1"/>
  <c r="G103" i="1"/>
  <c r="K134" i="1" l="1"/>
  <c r="K152" i="1"/>
  <c r="K155" i="1" s="1"/>
  <c r="K158" i="1" s="1"/>
  <c r="K165" i="1" s="1"/>
  <c r="K166" i="1" s="1"/>
  <c r="L163" i="1" s="1"/>
  <c r="F119" i="1"/>
  <c r="F124" i="1"/>
  <c r="F131" i="1" s="1"/>
  <c r="E111" i="1"/>
  <c r="E112" i="1" s="1"/>
  <c r="H111" i="1"/>
  <c r="G111" i="1"/>
  <c r="G112" i="1" s="1"/>
  <c r="K159" i="1" l="1"/>
  <c r="L157" i="1" s="1"/>
  <c r="L160" i="1" s="1"/>
  <c r="L164" i="1"/>
  <c r="L153" i="1" s="1"/>
  <c r="L167" i="1"/>
  <c r="L183" i="1" s="1"/>
  <c r="K182" i="1"/>
  <c r="K135" i="1" s="1"/>
  <c r="K136" i="1" s="1"/>
  <c r="L133" i="1" s="1"/>
  <c r="H124" i="1"/>
  <c r="H131" i="1" s="1"/>
  <c r="H112" i="1"/>
  <c r="E119" i="1"/>
  <c r="E124" i="1"/>
  <c r="E131" i="1" s="1"/>
  <c r="G119" i="1"/>
  <c r="G124" i="1"/>
  <c r="G131" i="1" s="1"/>
  <c r="H119" i="1"/>
  <c r="L151" i="1" l="1"/>
  <c r="L185" i="1"/>
  <c r="L184" i="1"/>
  <c r="L114" i="1" s="1"/>
  <c r="L127" i="1"/>
  <c r="C147" i="1"/>
  <c r="C146" i="1"/>
  <c r="C145" i="1"/>
  <c r="C144" i="1"/>
  <c r="L115" i="1" l="1"/>
  <c r="L130" i="1"/>
  <c r="L117" i="1"/>
  <c r="L119" i="1" s="1"/>
  <c r="L128" i="1" s="1"/>
  <c r="L131" i="1" s="1"/>
  <c r="C48" i="1"/>
  <c r="C47" i="1"/>
  <c r="C46" i="1"/>
  <c r="C45" i="1"/>
  <c r="D231" i="1"/>
  <c r="I230" i="1"/>
  <c r="E230" i="1"/>
  <c r="I187" i="1"/>
  <c r="E187" i="1"/>
  <c r="I138" i="1"/>
  <c r="E138" i="1"/>
  <c r="E121" i="1"/>
  <c r="L134" i="1" l="1"/>
  <c r="L152" i="1"/>
  <c r="L155" i="1" s="1"/>
  <c r="L158" i="1"/>
  <c r="C253" i="1"/>
  <c r="C252" i="1"/>
  <c r="C251" i="1"/>
  <c r="C243" i="1"/>
  <c r="C242" i="1"/>
  <c r="C241" i="1"/>
  <c r="C240" i="1"/>
  <c r="L159" i="1" l="1"/>
  <c r="M157" i="1" s="1"/>
  <c r="L165" i="1"/>
  <c r="L166" i="1" s="1"/>
  <c r="M163" i="1" s="1"/>
  <c r="H52" i="1"/>
  <c r="M164" i="1" l="1"/>
  <c r="M153" i="1" s="1"/>
  <c r="M167" i="1"/>
  <c r="L182" i="1"/>
  <c r="L135" i="1" s="1"/>
  <c r="L136" i="1" s="1"/>
  <c r="M133" i="1" s="1"/>
  <c r="M160" i="1"/>
  <c r="I52" i="1"/>
  <c r="G52" i="1"/>
  <c r="M185" i="1" l="1"/>
  <c r="M151" i="1"/>
  <c r="M183" i="1"/>
  <c r="F52" i="1"/>
  <c r="J52" i="1"/>
  <c r="M130" i="1" l="1"/>
  <c r="M115" i="1"/>
  <c r="M184" i="1"/>
  <c r="M114" i="1" s="1"/>
  <c r="M117" i="1" s="1"/>
  <c r="M119" i="1" s="1"/>
  <c r="M128" i="1" s="1"/>
  <c r="M127" i="1"/>
  <c r="K52" i="1"/>
  <c r="E52" i="1"/>
  <c r="M131" i="1" l="1"/>
  <c r="L52" i="1"/>
  <c r="I121" i="1"/>
  <c r="M152" i="1" l="1"/>
  <c r="M155" i="1" s="1"/>
  <c r="M134" i="1"/>
  <c r="M52" i="1"/>
  <c r="M158" i="1" l="1"/>
  <c r="M165" i="1" s="1"/>
  <c r="M166" i="1" s="1"/>
  <c r="E218" i="1"/>
  <c r="M182" i="1" l="1"/>
  <c r="M135" i="1" s="1"/>
  <c r="M136" i="1" s="1"/>
  <c r="M159" i="1"/>
  <c r="H92" i="1"/>
  <c r="H188" i="1" l="1"/>
  <c r="H139" i="1"/>
  <c r="H231" i="1"/>
  <c r="H122" i="1"/>
  <c r="I92" i="1"/>
  <c r="G92" i="1"/>
  <c r="I188" i="1" l="1"/>
  <c r="I231" i="1"/>
  <c r="I139" i="1"/>
  <c r="G188" i="1"/>
  <c r="G231" i="1"/>
  <c r="G139" i="1"/>
  <c r="I122" i="1"/>
  <c r="G122" i="1"/>
  <c r="J92" i="1"/>
  <c r="F92" i="1"/>
  <c r="J231" i="1" l="1"/>
  <c r="J139" i="1"/>
  <c r="J188" i="1"/>
  <c r="F188" i="1"/>
  <c r="F231" i="1"/>
  <c r="F139" i="1"/>
  <c r="E92" i="1"/>
  <c r="J122" i="1"/>
  <c r="F122" i="1"/>
  <c r="K92" i="1"/>
  <c r="K231" i="1" l="1"/>
  <c r="K139" i="1"/>
  <c r="K188" i="1"/>
  <c r="E231" i="1"/>
  <c r="E139" i="1"/>
  <c r="E188" i="1"/>
  <c r="E122" i="1"/>
  <c r="K122" i="1"/>
  <c r="L92" i="1"/>
  <c r="L231" i="1" l="1"/>
  <c r="L139" i="1"/>
  <c r="L188" i="1"/>
  <c r="L122" i="1"/>
  <c r="M92" i="1"/>
  <c r="M231" i="1" l="1"/>
  <c r="M139" i="1"/>
  <c r="M188" i="1"/>
  <c r="M122" i="1"/>
</calcChain>
</file>

<file path=xl/sharedStrings.xml><?xml version="1.0" encoding="utf-8"?>
<sst xmlns="http://schemas.openxmlformats.org/spreadsheetml/2006/main" count="401" uniqueCount="236">
  <si>
    <t>Company Name:</t>
  </si>
  <si>
    <t>Last Historical Year:</t>
  </si>
  <si>
    <t>Sources &amp; Uses Schedule:</t>
  </si>
  <si>
    <t>Historical</t>
  </si>
  <si>
    <t>Projected</t>
  </si>
  <si>
    <t>Debt Schedule:</t>
  </si>
  <si>
    <t>Numerical Year:</t>
  </si>
  <si>
    <t>(-) Net Debt:</t>
  </si>
  <si>
    <t>Total Sources:</t>
  </si>
  <si>
    <t>Total Uses:</t>
  </si>
  <si>
    <t>PIK</t>
  </si>
  <si>
    <t>Revolver:</t>
  </si>
  <si>
    <t>Rate:</t>
  </si>
  <si>
    <t>Spread:</t>
  </si>
  <si>
    <t>Margin:</t>
  </si>
  <si>
    <t>Annual</t>
  </si>
  <si>
    <t>Mezzanine:</t>
  </si>
  <si>
    <t>Transaction Fees:</t>
  </si>
  <si>
    <t>x EBITDA</t>
  </si>
  <si>
    <t>Purchase Enterprise Value:</t>
  </si>
  <si>
    <t>EBITDA:</t>
  </si>
  <si>
    <t>Uses of Funds:</t>
  </si>
  <si>
    <t>% Sources</t>
  </si>
  <si>
    <t>Sources of Funds:</t>
  </si>
  <si>
    <t>(+/-) Change in Working Capital:</t>
  </si>
  <si>
    <t>Free Cash Flow (FCF):</t>
  </si>
  <si>
    <t>Cash Flow Projections:</t>
  </si>
  <si>
    <t>Cash - Beginning of Period:</t>
  </si>
  <si>
    <t>Debt (Repayment) / Drawdown:</t>
  </si>
  <si>
    <t>Cash - End of Period:</t>
  </si>
  <si>
    <t>%</t>
  </si>
  <si>
    <t>Units:</t>
  </si>
  <si>
    <t>Floor:</t>
  </si>
  <si>
    <t>Fixed</t>
  </si>
  <si>
    <t>Revenue, Expenses, and Cash Flow:</t>
  </si>
  <si>
    <t>CapEx % Sales:</t>
  </si>
  <si>
    <t>EoP Mezzanine:</t>
  </si>
  <si>
    <t>BoP Mezzanine:</t>
  </si>
  <si>
    <t>(+) PIK Interest:</t>
  </si>
  <si>
    <t>Total:</t>
  </si>
  <si>
    <t>(+) Free Cash Flow:</t>
  </si>
  <si>
    <t>Cash Flow Surplus / (Shortfall):</t>
  </si>
  <si>
    <t>BoP Revolver:</t>
  </si>
  <si>
    <t>Revolver (Repayments) / Drawdowns:</t>
  </si>
  <si>
    <t>EoP Revolver:</t>
  </si>
  <si>
    <t>(-) Minimum Cash:</t>
  </si>
  <si>
    <t>(+) Debt Drawdown / (-) Repayment:</t>
  </si>
  <si>
    <t>(x) Exit Multiple:</t>
  </si>
  <si>
    <t>Exit Equity Value:</t>
  </si>
  <si>
    <t>Exit Enterprise Value:</t>
  </si>
  <si>
    <t>Project-Level Returns:</t>
  </si>
  <si>
    <t>IRR:</t>
  </si>
  <si>
    <t>Multiple:</t>
  </si>
  <si>
    <t>#</t>
  </si>
  <si>
    <t>x</t>
  </si>
  <si>
    <t>Value Creation Analysis:</t>
  </si>
  <si>
    <t>EBITDA Growth:</t>
  </si>
  <si>
    <t>Multiple Expansion:</t>
  </si>
  <si>
    <t>Debt Paydown and Cash Generation:</t>
  </si>
  <si>
    <t>Total Equity Return:</t>
  </si>
  <si>
    <t>Value Creation in %:</t>
  </si>
  <si>
    <t>Income Statement:</t>
  </si>
  <si>
    <t>Ticker:</t>
  </si>
  <si>
    <t>Total Operating Expenses:</t>
  </si>
  <si>
    <t>Share Price:</t>
  </si>
  <si>
    <t>Offer Price per Share:</t>
  </si>
  <si>
    <t>Operating Income / (Loss):</t>
  </si>
  <si>
    <t>(-) Cash Interest Expense:</t>
  </si>
  <si>
    <t>(+) Cash Interest Income:</t>
  </si>
  <si>
    <t>Growth Rate:</t>
  </si>
  <si>
    <t>Cash:</t>
  </si>
  <si>
    <t>Term Loans:</t>
  </si>
  <si>
    <t>Subordinated Notes:</t>
  </si>
  <si>
    <t>LTM EBITDA:</t>
  </si>
  <si>
    <t>Diluted Share Count:</t>
  </si>
  <si>
    <t>Purchase Equity Value:</t>
  </si>
  <si>
    <t>(+) Debt:</t>
  </si>
  <si>
    <t>Prepayment Penalty on Existing Debt:</t>
  </si>
  <si>
    <t>Minimum Cash Balance:</t>
  </si>
  <si>
    <t>Excess Cash:</t>
  </si>
  <si>
    <t>Equity %:</t>
  </si>
  <si>
    <t>Interest Rates:</t>
  </si>
  <si>
    <t>EoP Term Loans:</t>
  </si>
  <si>
    <t>BoP Term Loans:</t>
  </si>
  <si>
    <t>BoP Subordinated Notes:</t>
  </si>
  <si>
    <t>EoP Subordinated Notes:</t>
  </si>
  <si>
    <t>(-) Amortization:</t>
  </si>
  <si>
    <t>Cash Interest Expense:</t>
  </si>
  <si>
    <t>Total Interest Expense:</t>
  </si>
  <si>
    <t>Distributions to Management and Mezzanine Investors:</t>
  </si>
  <si>
    <t>Sponsor Equity Proceeds:</t>
  </si>
  <si>
    <t>Net Interest Income / (Expense):</t>
  </si>
  <si>
    <t>Debt and Cash Assumptions:</t>
  </si>
  <si>
    <t>Tranche Name:</t>
  </si>
  <si>
    <t>Volume Growth:</t>
  </si>
  <si>
    <t>Purchase Premium:</t>
  </si>
  <si>
    <t>(+) Cash from Management Options:</t>
  </si>
  <si>
    <t>(-) Equity to Management Options:</t>
  </si>
  <si>
    <t>Cash Interest Income:</t>
  </si>
  <si>
    <t>Cash Flow and Revolver Calculations:</t>
  </si>
  <si>
    <t>(-) Equity to Mezzanine Investors:</t>
  </si>
  <si>
    <t>Net Equity to Management &amp; Mezzanine:</t>
  </si>
  <si>
    <t>Returns Calculations:</t>
  </si>
  <si>
    <t>Sponsor Returns:</t>
  </si>
  <si>
    <t>Sensitivity Tables - Sponsor Returns:</t>
  </si>
  <si>
    <t>(¥ JPY in Billions, Except Per Share and Per Unit Data)</t>
  </si>
  <si>
    <t>9792:TYO</t>
  </si>
  <si>
    <t>NichiiGakkan Co., Ltd.</t>
  </si>
  <si>
    <t>Name</t>
  </si>
  <si>
    <t>¥ as Stated</t>
  </si>
  <si>
    <t>M Shares</t>
  </si>
  <si>
    <t>Date</t>
  </si>
  <si>
    <t>Management Options Pool:</t>
  </si>
  <si>
    <t>(-) Cash &amp; Investments:</t>
  </si>
  <si>
    <t>(+) Unfunded Pensions:</t>
  </si>
  <si>
    <t>Assume/Replace Existing Debt:</t>
  </si>
  <si>
    <t>(+) Noncontrolling Interests:</t>
  </si>
  <si>
    <t>Premium Paid:</t>
  </si>
  <si>
    <t>Total Revenue:</t>
  </si>
  <si>
    <t>Revenue Growth:</t>
  </si>
  <si>
    <t>Gross Profit:</t>
  </si>
  <si>
    <t>Gross Margin:</t>
  </si>
  <si>
    <t>Pre-Tax Income:</t>
  </si>
  <si>
    <t># Patients</t>
  </si>
  <si>
    <t>Average Annual Price per Patient:</t>
  </si>
  <si>
    <t>Financing Fees:</t>
  </si>
  <si>
    <t>Advisory Fee %:</t>
  </si>
  <si>
    <t>Debt Issuance Fee %:</t>
  </si>
  <si>
    <t>Legal and Other Fees:</t>
  </si>
  <si>
    <t>¥ M</t>
  </si>
  <si>
    <t>Average # of Patients:</t>
  </si>
  <si>
    <t># Patients at Year End:</t>
  </si>
  <si>
    <t>Total # of Facilities:</t>
  </si>
  <si>
    <t># Facilities</t>
  </si>
  <si>
    <t>Medical Support - # of Hospitals:</t>
  </si>
  <si>
    <t>Patients per Facility:</t>
  </si>
  <si>
    <t># Hospitals</t>
  </si>
  <si>
    <t>Average Contract per Hospital:</t>
  </si>
  <si>
    <t>¥ M / Hosp.</t>
  </si>
  <si>
    <t>¥ / Patient</t>
  </si>
  <si>
    <t>Other Segments Growth Rate:</t>
  </si>
  <si>
    <t>Eliminations % Total Revenue:</t>
  </si>
  <si>
    <t>Cost of Sales % Revenue:</t>
  </si>
  <si>
    <t>SG&amp;A % Revenue:</t>
  </si>
  <si>
    <t>¥ M / Facility</t>
  </si>
  <si>
    <t>(-) Cash Taxes:</t>
  </si>
  <si>
    <t>(-) CapEx and Intangible Purchases:</t>
  </si>
  <si>
    <t>CapEx/Intangibles per Owned Facility:</t>
  </si>
  <si>
    <t>D&amp;A per Owned Facility:</t>
  </si>
  <si>
    <t>D&amp;A % Sales:</t>
  </si>
  <si>
    <t>(+/-) Other Items:</t>
  </si>
  <si>
    <t>Change in Working Capital:</t>
  </si>
  <si>
    <t>Other Items % Revenue:</t>
  </si>
  <si>
    <t>Japanese 10-Year Government Bond Yield:</t>
  </si>
  <si>
    <t>JGB 10-Yr</t>
  </si>
  <si>
    <t>Cash Taxes % Cash Taxable Income:</t>
  </si>
  <si>
    <t>Goodwill Calculation:</t>
  </si>
  <si>
    <t>Equity Purchase Price:</t>
  </si>
  <si>
    <t>(-) Seller Book Value:</t>
  </si>
  <si>
    <t>(+) Write-Off of Existing Goodwill:</t>
  </si>
  <si>
    <t>Total Allocable Purchase Premium:</t>
  </si>
  <si>
    <t>Amortization Period:</t>
  </si>
  <si>
    <t># Years</t>
  </si>
  <si>
    <t>Total Goodwill Created:</t>
  </si>
  <si>
    <t>(-) Noncontrolling Interests:</t>
  </si>
  <si>
    <t>(-) Unfunded Pensions:</t>
  </si>
  <si>
    <t>Purchase TEV / EBITDA Multiple:</t>
  </si>
  <si>
    <t>Operating Margin:</t>
  </si>
  <si>
    <t>Pricing Growth:</t>
  </si>
  <si>
    <t>Long-Term Care Revenue Growth:</t>
  </si>
  <si>
    <t>Long-Term Care Revenue Growth Drivers:</t>
  </si>
  <si>
    <t>Long-Term Care Revenue Growth in %:</t>
  </si>
  <si>
    <t>Value Creation in JPY:</t>
  </si>
  <si>
    <t>Amort:</t>
  </si>
  <si>
    <t>(-) Cash Flow Sweep:</t>
  </si>
  <si>
    <t>Cash Flow</t>
  </si>
  <si>
    <t>Sweep %:</t>
  </si>
  <si>
    <t>(+/-) Other Write-Ups &amp; Write-Downs:</t>
  </si>
  <si>
    <t>Investor Equity:</t>
  </si>
  <si>
    <t>New Goodwill:</t>
  </si>
  <si>
    <t>New Goodwill Amortization:</t>
  </si>
  <si>
    <t>(+) Long-Term Care Revenue:</t>
  </si>
  <si>
    <t>(+) Medical Support Revenue:</t>
  </si>
  <si>
    <t>(+) Other Segments:</t>
  </si>
  <si>
    <t>(-) Eliminations:</t>
  </si>
  <si>
    <t>(-) Cost of Sales:</t>
  </si>
  <si>
    <t>(-) SG&amp;A Expense:</t>
  </si>
  <si>
    <t>(-) Amortization of Goodwill:</t>
  </si>
  <si>
    <t>(-) Depreciation &amp; Amortization:</t>
  </si>
  <si>
    <t>(-) Interest Expense:</t>
  </si>
  <si>
    <t>(+) Interest Income:</t>
  </si>
  <si>
    <t>Transaction Assumptions:</t>
  </si>
  <si>
    <t>Change in WC % Revenue:</t>
  </si>
  <si>
    <t>Probably the most difficult part of the entire LBO model because there are some new features here, and some trickier</t>
  </si>
  <si>
    <t>formulas than what you've seen before. Still not "hard," but a few formulas are easy to enter incorrectly.</t>
  </si>
  <si>
    <r>
      <t xml:space="preserve">Doing this schedule </t>
    </r>
    <r>
      <rPr>
        <b/>
        <sz val="12"/>
        <color theme="1"/>
        <rFont val="Calibri"/>
        <family val="2"/>
        <scheme val="minor"/>
      </rPr>
      <t>sequentially</t>
    </r>
    <r>
      <rPr>
        <sz val="12"/>
        <color theme="1"/>
        <rFont val="Calibri"/>
        <family val="2"/>
        <scheme val="minor"/>
      </rPr>
      <t xml:space="preserve"> makes no sense because the top parts depend on the parts below them - so we're going</t>
    </r>
  </si>
  <si>
    <t>to do it in order of "difficulty" instead, and start with the easy parts, move to the more complex parts, and finish with the</t>
  </si>
  <si>
    <t>easy parts.</t>
  </si>
  <si>
    <t>Debt Links and Fixed Interest and Repayments:</t>
  </si>
  <si>
    <t>Start by linking in the Revolver, Term Loans, Subordinated Notes, and Mezzanine from the S&amp;U schedule.</t>
  </si>
  <si>
    <t>The Mezzanine and Subordinated are easy - there's a fixed PIK Interest and a fixed Cash Interest each year, and the rates</t>
  </si>
  <si>
    <t>never change. Principal increases by the PIK or Accrued Interest, and the Cash Interest is paid with the company's cash flows.</t>
  </si>
  <si>
    <t>Term Loan Amortization is also easy - take the MIN between the fixed amount and the remaining balance from the end</t>
  </si>
  <si>
    <t>of the previous period.</t>
  </si>
  <si>
    <t>Revolver and Cash Flow Sweep:</t>
  </si>
  <si>
    <t>Start by calculating the Cash Flow Surplus or Shortfall. If there's a Surplus, we can repay some Debt optionally; if there's a</t>
  </si>
  <si>
    <t>Shortfall, we need to draw on the Revolver, which is like an "overdraft account" at the bank.</t>
  </si>
  <si>
    <t>Beginning Cash + FCF - "Amortization" (mandatory repayments) - Minimum Cash = Cash Flow Surplus or Shortfall.</t>
  </si>
  <si>
    <r>
      <t>Revolver:</t>
    </r>
    <r>
      <rPr>
        <sz val="12"/>
        <color theme="1"/>
        <rFont val="Calibri"/>
        <family val="2"/>
        <scheme val="minor"/>
      </rPr>
      <t xml:space="preserve"> We can either draw on it or repay some or all of it in each period. No maximum draw stated in the instructions.</t>
    </r>
  </si>
  <si>
    <t>=IF(I155&gt;0,-MIN(I155,I157),-I155)</t>
  </si>
  <si>
    <t>If we have a Surplus (&gt; 0), then we repay the lesser of the Beginning Balance and the Cash Flow Surplus.</t>
  </si>
  <si>
    <t>If not, then we draw on the Revolver in the amount of the Shortfall, flipping the sign to make it positive for a draw.</t>
  </si>
  <si>
    <r>
      <t>Cash Flow Sweep:</t>
    </r>
    <r>
      <rPr>
        <sz val="12"/>
        <color theme="1"/>
        <rFont val="Calibri"/>
        <family val="2"/>
        <scheme val="minor"/>
      </rPr>
      <t xml:space="preserve"> The idea here is that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if there's a Cash Flow Surplus AND there is still something left after repayment of</t>
    </r>
  </si>
  <si>
    <t>the Revolver, then we can also repay some of the Term Loans optionally.</t>
  </si>
  <si>
    <t>=IF(I155+I158&gt;0,-MIN((I155+I158)*$I$46,SUM(I163:I164)),0)</t>
  </si>
  <si>
    <r>
      <t>IF</t>
    </r>
    <r>
      <rPr>
        <sz val="12"/>
        <color theme="1"/>
        <rFont val="Calibri"/>
        <family val="2"/>
        <scheme val="minor"/>
      </rPr>
      <t xml:space="preserve"> we have actual "Excess Cash Flow," in other words, if the Surplus - Repayments exceeds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0…</t>
    </r>
  </si>
  <si>
    <t>How much? Instructions state that 50% of "Excess Cash Flow" can be used for this purpose, and the remaining 50% goes to Cash.</t>
  </si>
  <si>
    <r>
      <rPr>
        <b/>
        <sz val="12"/>
        <color theme="1"/>
        <rFont val="Calibri"/>
        <family val="2"/>
        <scheme val="minor"/>
      </rPr>
      <t>THEN</t>
    </r>
    <r>
      <rPr>
        <sz val="12"/>
        <color theme="1"/>
        <rFont val="Calibri"/>
        <family val="2"/>
        <scheme val="minor"/>
      </rPr>
      <t xml:space="preserve"> we take the MIN between that Excess Cash Flow * 50% and the remaining Term Loan balance this year, after the </t>
    </r>
  </si>
  <si>
    <t>"Amortization" or mandatory repayments.</t>
  </si>
  <si>
    <t>Interest:</t>
  </si>
  <si>
    <t>This is simple - link to the assumptions at the top and then multiply each rate by the Beginning Balance to calculate the</t>
  </si>
  <si>
    <t>Interest Expense for that tranche.</t>
  </si>
  <si>
    <r>
      <t>Only</t>
    </r>
    <r>
      <rPr>
        <sz val="12"/>
        <color theme="1"/>
        <rFont val="Calibri"/>
        <family val="2"/>
        <scheme val="minor"/>
      </rPr>
      <t xml:space="preserve"> tricky part is the "Floor" - this means that if the 10-year Japanese government bond yield is below X, then we bump it</t>
    </r>
  </si>
  <si>
    <t>up to X and add the spread:</t>
  </si>
  <si>
    <t>=MAX($D45,I$142)+$E45</t>
  </si>
  <si>
    <t>Faster/simpler with a MAX function, but you could also use IF.</t>
  </si>
  <si>
    <t>Then, multiply everything and use beginning balance figures to avoid circular references.</t>
  </si>
  <si>
    <t>Link the Statements:</t>
  </si>
  <si>
    <t>Once we have this schedule, it's useful to aggregate the total Debt Repayments / Drawdowns, the Cash Interest Expense,</t>
  </si>
  <si>
    <t>and the Total Interest Expense at the bottom.</t>
  </si>
  <si>
    <t>And now we can return to the IS and partial CFS and link in these items.</t>
  </si>
  <si>
    <r>
      <t xml:space="preserve">We want </t>
    </r>
    <r>
      <rPr>
        <b/>
        <sz val="12"/>
        <color theme="1"/>
        <rFont val="Calibri"/>
        <family val="2"/>
        <scheme val="minor"/>
      </rPr>
      <t>TOTAL INTEREST EXPENSE</t>
    </r>
    <r>
      <rPr>
        <sz val="12"/>
        <color theme="1"/>
        <rFont val="Calibri"/>
        <family val="2"/>
        <scheme val="minor"/>
      </rPr>
      <t xml:space="preserve"> on the IS, not just Cash Interest - PIK Interest is also deductible!</t>
    </r>
  </si>
  <si>
    <t xml:space="preserve">But in the CF Projections, we only care about Cash Interest since PIK Interest is just added back on the CFS, resulting in a </t>
  </si>
  <si>
    <t>tax benefit but no cash outflow.</t>
  </si>
  <si>
    <t>Worth checking the Ending Cash Balance now - if this is set up correctly, it should stay the same in the first few years and</t>
  </si>
  <si>
    <t>then start increasing as the company no longer needs the Revolver and starts to make optional repayments of the Term Loan.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</si>
</sst>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"/>
    <numFmt numFmtId="165" formatCode="_(* #,##0.0_);_(* \(#,##0.0\);_(* &quot;-&quot;?_);_(@_)"/>
    <numFmt numFmtId="166" formatCode="_([$€-2]\ * #,##0.0_);_([$€-2]\ * \(#,##0.0\);_([$€-2]\ * &quot;-&quot;?_);_(@_)"/>
    <numFmt numFmtId="167" formatCode="_(* #,##0.0%;_(* \(#,##0.0%\);_(* &quot;- %&quot;_);_(* @_%_)"/>
    <numFmt numFmtId="168" formatCode="&quot;FY&quot;yy"/>
    <numFmt numFmtId="169" formatCode="0.0\ \x"/>
    <numFmt numFmtId="170" formatCode="0.0%;\(0.0%\)"/>
    <numFmt numFmtId="171" formatCode="_(* #,##0.000_);_(* \(#,##0.000\);_(* &quot;-&quot;???_);_(@_)"/>
    <numFmt numFmtId="172" formatCode="0.0%"/>
    <numFmt numFmtId="173" formatCode="_-[$¥-411]* #,##0_-;\-[$¥-411]* #,##0_-;_-[$¥-411]* &quot;-&quot;_-;_-@_-"/>
    <numFmt numFmtId="174" formatCode="_(* #,##0_);_(* \(#,##0\);_(* &quot;-&quot;?_);_(@_)"/>
    <numFmt numFmtId="175" formatCode="_-[$¥-411]* #,##0.00_-;\-[$¥-411]* #,##0.00_-;_-[$¥-411]* &quot;-&quot;??_-;_-@_-"/>
    <numFmt numFmtId="176" formatCode="_(* #,##0_);_(* \(#,##0\);_(* &quot;-&quot;??_);_(@_)"/>
    <numFmt numFmtId="177" formatCode="_(* #,##0.00_);_(* \(#,##0.00\);_(* &quot;-&quot;?_);_(@_)"/>
    <numFmt numFmtId="178" formatCode="* _(##,##0_);[Red]* \(##,##0\);* _(&quot;-&quot;?_);_(@_)"/>
    <numFmt numFmtId="179" formatCode="0_);\(0\)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rgb="FFFFFFFF"/>
      <name val="Calibri"/>
      <family val="2"/>
      <scheme val="minor"/>
    </font>
    <font>
      <i/>
      <sz val="12"/>
      <color rgb="FFFFFFFF"/>
      <name val="Calibri"/>
      <family val="2"/>
      <scheme val="minor"/>
    </font>
    <font>
      <sz val="12"/>
      <color rgb="FF0000FF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rgb="FFFFFFFF"/>
      <name val="Calibri"/>
      <family val="2"/>
      <scheme val="minor"/>
    </font>
    <font>
      <sz val="10"/>
      <name val="Arial"/>
      <family val="2"/>
    </font>
    <font>
      <i/>
      <sz val="12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FF"/>
      <name val="Calibri"/>
      <family val="2"/>
    </font>
    <font>
      <i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1F497D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auto="1"/>
      </top>
      <bottom style="thin">
        <color rgb="FFB2B2B2"/>
      </bottom>
      <diagonal/>
    </border>
    <border>
      <left style="thin">
        <color rgb="FFB2B2B2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rgb="FFFFFFFF"/>
      </top>
      <bottom style="thin">
        <color indexed="64"/>
      </bottom>
      <diagonal/>
    </border>
    <border>
      <left/>
      <right/>
      <top style="thin">
        <color rgb="FFB2B2B2"/>
      </top>
      <bottom/>
      <diagonal/>
    </border>
    <border>
      <left/>
      <right/>
      <top style="thin">
        <color indexed="64"/>
      </top>
      <bottom style="thin">
        <color rgb="FFB2B2B2"/>
      </bottom>
      <diagonal/>
    </border>
    <border>
      <left/>
      <right/>
      <top/>
      <bottom style="thin">
        <color rgb="FFB2B2B2"/>
      </bottom>
      <diagonal/>
    </border>
    <border>
      <left style="thin">
        <color theme="0" tint="-0.24994659260841701"/>
      </left>
      <right style="thin">
        <color rgb="FFB2B2B2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3" fillId="2" borderId="1" applyNumberFormat="0" applyFont="0" applyAlignment="0" applyProtection="0"/>
    <xf numFmtId="0" fontId="15" fillId="0" borderId="0"/>
  </cellStyleXfs>
  <cellXfs count="186">
    <xf numFmtId="0" fontId="0" fillId="0" borderId="0" xfId="0"/>
    <xf numFmtId="168" fontId="4" fillId="6" borderId="2" xfId="0" applyNumberFormat="1" applyFont="1" applyFill="1" applyBorder="1" applyAlignment="1">
      <alignment horizontal="center"/>
    </xf>
    <xf numFmtId="168" fontId="4" fillId="6" borderId="4" xfId="0" applyNumberFormat="1" applyFont="1" applyFill="1" applyBorder="1" applyAlignment="1">
      <alignment horizontal="center"/>
    </xf>
    <xf numFmtId="0" fontId="5" fillId="0" borderId="0" xfId="0" applyFont="1"/>
    <xf numFmtId="0" fontId="6" fillId="3" borderId="2" xfId="0" applyFont="1" applyFill="1" applyBorder="1"/>
    <xf numFmtId="0" fontId="7" fillId="3" borderId="2" xfId="0" applyFont="1" applyFill="1" applyBorder="1"/>
    <xf numFmtId="0" fontId="8" fillId="3" borderId="2" xfId="0" applyFont="1" applyFill="1" applyBorder="1"/>
    <xf numFmtId="0" fontId="7" fillId="3" borderId="2" xfId="0" applyFont="1" applyFill="1" applyBorder="1" applyAlignment="1"/>
    <xf numFmtId="164" fontId="9" fillId="5" borderId="1" xfId="1" applyNumberFormat="1" applyFont="1" applyFill="1" applyAlignment="1">
      <alignment horizontal="center"/>
    </xf>
    <xf numFmtId="0" fontId="5" fillId="4" borderId="2" xfId="0" applyFont="1" applyFill="1" applyBorder="1"/>
    <xf numFmtId="0" fontId="9" fillId="0" borderId="0" xfId="0" applyFont="1" applyAlignment="1">
      <alignment horizontal="center"/>
    </xf>
    <xf numFmtId="0" fontId="5" fillId="4" borderId="0" xfId="0" applyFont="1" applyFill="1" applyBorder="1"/>
    <xf numFmtId="0" fontId="6" fillId="6" borderId="0" xfId="0" applyFont="1" applyFill="1" applyBorder="1"/>
    <xf numFmtId="0" fontId="7" fillId="6" borderId="0" xfId="0" applyFont="1" applyFill="1" applyBorder="1"/>
    <xf numFmtId="0" fontId="8" fillId="6" borderId="0" xfId="0" applyFont="1" applyFill="1" applyBorder="1"/>
    <xf numFmtId="0" fontId="6" fillId="6" borderId="3" xfId="0" applyFont="1" applyFill="1" applyBorder="1" applyAlignment="1">
      <alignment horizontal="centerContinuous"/>
    </xf>
    <xf numFmtId="0" fontId="7" fillId="6" borderId="3" xfId="0" applyFont="1" applyFill="1" applyBorder="1" applyAlignment="1">
      <alignment horizontal="centerContinuous"/>
    </xf>
    <xf numFmtId="0" fontId="6" fillId="6" borderId="5" xfId="0" applyFont="1" applyFill="1" applyBorder="1" applyAlignment="1">
      <alignment horizontal="centerContinuous"/>
    </xf>
    <xf numFmtId="0" fontId="8" fillId="6" borderId="3" xfId="0" applyFont="1" applyFill="1" applyBorder="1" applyAlignment="1">
      <alignment horizontal="centerContinuous"/>
    </xf>
    <xf numFmtId="0" fontId="7" fillId="6" borderId="2" xfId="0" applyFont="1" applyFill="1" applyBorder="1"/>
    <xf numFmtId="0" fontId="11" fillId="0" borderId="0" xfId="0" applyFont="1" applyAlignment="1">
      <alignment horizontal="left" indent="1"/>
    </xf>
    <xf numFmtId="0" fontId="5" fillId="0" borderId="0" xfId="0" applyFont="1" applyFill="1" applyBorder="1"/>
    <xf numFmtId="166" fontId="5" fillId="0" borderId="0" xfId="0" applyNumberFormat="1" applyFont="1"/>
    <xf numFmtId="166" fontId="5" fillId="0" borderId="0" xfId="0" applyNumberFormat="1" applyFont="1" applyBorder="1"/>
    <xf numFmtId="0" fontId="6" fillId="3" borderId="0" xfId="0" applyFont="1" applyFill="1" applyBorder="1"/>
    <xf numFmtId="0" fontId="7" fillId="3" borderId="0" xfId="0" applyFont="1" applyFill="1" applyBorder="1"/>
    <xf numFmtId="0" fontId="8" fillId="3" borderId="0" xfId="0" applyFont="1" applyFill="1" applyBorder="1"/>
    <xf numFmtId="0" fontId="5" fillId="0" borderId="0" xfId="0" applyFont="1" applyAlignment="1">
      <alignment horizontal="left" indent="1"/>
    </xf>
    <xf numFmtId="0" fontId="5" fillId="4" borderId="0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left"/>
    </xf>
    <xf numFmtId="0" fontId="6" fillId="6" borderId="2" xfId="0" applyFont="1" applyFill="1" applyBorder="1"/>
    <xf numFmtId="0" fontId="5" fillId="0" borderId="6" xfId="0" applyFont="1" applyBorder="1"/>
    <xf numFmtId="0" fontId="9" fillId="5" borderId="1" xfId="1" applyFont="1" applyFill="1" applyAlignment="1">
      <alignment horizontal="centerContinuous"/>
    </xf>
    <xf numFmtId="0" fontId="14" fillId="6" borderId="2" xfId="0" applyFont="1" applyFill="1" applyBorder="1" applyAlignment="1">
      <alignment horizontal="center"/>
    </xf>
    <xf numFmtId="0" fontId="6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168" fontId="4" fillId="0" borderId="0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left" indent="1"/>
    </xf>
    <xf numFmtId="10" fontId="9" fillId="0" borderId="0" xfId="1" applyNumberFormat="1" applyFont="1" applyFill="1" applyBorder="1"/>
    <xf numFmtId="10" fontId="12" fillId="0" borderId="0" xfId="1" applyNumberFormat="1" applyFont="1" applyFill="1" applyBorder="1"/>
    <xf numFmtId="0" fontId="11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6" fillId="0" borderId="0" xfId="2" applyFont="1" applyAlignment="1">
      <alignment horizontal="center"/>
    </xf>
    <xf numFmtId="167" fontId="10" fillId="0" borderId="0" xfId="1" applyNumberFormat="1" applyFont="1" applyFill="1" applyBorder="1"/>
    <xf numFmtId="0" fontId="11" fillId="0" borderId="0" xfId="0" applyFont="1" applyAlignment="1">
      <alignment horizontal="center"/>
    </xf>
    <xf numFmtId="0" fontId="12" fillId="6" borderId="10" xfId="2" applyFont="1" applyFill="1" applyBorder="1"/>
    <xf numFmtId="0" fontId="12" fillId="6" borderId="11" xfId="2" applyFont="1" applyFill="1" applyBorder="1"/>
    <xf numFmtId="0" fontId="4" fillId="6" borderId="11" xfId="2" applyFont="1" applyFill="1" applyBorder="1" applyAlignment="1">
      <alignment horizontal="centerContinuous"/>
    </xf>
    <xf numFmtId="0" fontId="13" fillId="6" borderId="11" xfId="2" applyFont="1" applyFill="1" applyBorder="1" applyAlignment="1">
      <alignment horizontal="centerContinuous"/>
    </xf>
    <xf numFmtId="0" fontId="13" fillId="6" borderId="12" xfId="2" applyFont="1" applyFill="1" applyBorder="1" applyAlignment="1">
      <alignment horizontal="centerContinuous"/>
    </xf>
    <xf numFmtId="0" fontId="12" fillId="6" borderId="13" xfId="2" applyFont="1" applyFill="1" applyBorder="1"/>
    <xf numFmtId="170" fontId="17" fillId="4" borderId="0" xfId="2" applyNumberFormat="1" applyFont="1" applyFill="1" applyBorder="1"/>
    <xf numFmtId="43" fontId="12" fillId="0" borderId="0" xfId="0" applyNumberFormat="1" applyFont="1" applyFill="1" applyBorder="1" applyAlignment="1"/>
    <xf numFmtId="43" fontId="13" fillId="0" borderId="0" xfId="0" applyNumberFormat="1" applyFont="1" applyFill="1" applyBorder="1" applyAlignment="1"/>
    <xf numFmtId="167" fontId="18" fillId="0" borderId="0" xfId="1" applyNumberFormat="1" applyFont="1" applyFill="1" applyBorder="1"/>
    <xf numFmtId="0" fontId="5" fillId="0" borderId="0" xfId="0" applyFont="1" applyBorder="1"/>
    <xf numFmtId="170" fontId="10" fillId="0" borderId="0" xfId="1" applyNumberFormat="1" applyFont="1" applyFill="1" applyBorder="1"/>
    <xf numFmtId="170" fontId="10" fillId="0" borderId="2" xfId="1" applyNumberFormat="1" applyFont="1" applyFill="1" applyBorder="1"/>
    <xf numFmtId="170" fontId="18" fillId="0" borderId="0" xfId="1" applyNumberFormat="1" applyFont="1" applyFill="1" applyBorder="1"/>
    <xf numFmtId="168" fontId="4" fillId="6" borderId="16" xfId="0" applyNumberFormat="1" applyFont="1" applyFill="1" applyBorder="1" applyAlignment="1">
      <alignment horizontal="center"/>
    </xf>
    <xf numFmtId="38" fontId="9" fillId="5" borderId="1" xfId="1" applyNumberFormat="1" applyFont="1" applyFill="1" applyBorder="1"/>
    <xf numFmtId="169" fontId="12" fillId="0" borderId="0" xfId="0" applyNumberFormat="1" applyFont="1" applyFill="1" applyBorder="1"/>
    <xf numFmtId="171" fontId="9" fillId="5" borderId="1" xfId="0" applyNumberFormat="1" applyFont="1" applyFill="1" applyBorder="1"/>
    <xf numFmtId="0" fontId="5" fillId="4" borderId="6" xfId="0" applyFont="1" applyFill="1" applyBorder="1"/>
    <xf numFmtId="167" fontId="20" fillId="0" borderId="0" xfId="1" applyNumberFormat="1" applyFont="1" applyFill="1" applyBorder="1"/>
    <xf numFmtId="0" fontId="12" fillId="0" borderId="0" xfId="0" applyFont="1" applyFill="1" applyBorder="1" applyAlignment="1">
      <alignment horizontal="left" indent="1"/>
    </xf>
    <xf numFmtId="172" fontId="9" fillId="4" borderId="14" xfId="2" applyNumberFormat="1" applyFont="1" applyFill="1" applyBorder="1" applyAlignment="1">
      <alignment horizontal="center"/>
    </xf>
    <xf numFmtId="172" fontId="12" fillId="4" borderId="14" xfId="2" applyNumberFormat="1" applyFont="1" applyFill="1" applyBorder="1" applyAlignment="1">
      <alignment horizontal="center"/>
    </xf>
    <xf numFmtId="172" fontId="12" fillId="4" borderId="15" xfId="2" applyNumberFormat="1" applyFont="1" applyFill="1" applyBorder="1" applyAlignment="1">
      <alignment horizontal="center"/>
    </xf>
    <xf numFmtId="172" fontId="13" fillId="4" borderId="14" xfId="2" applyNumberFormat="1" applyFont="1" applyFill="1" applyBorder="1" applyAlignment="1">
      <alignment horizontal="center"/>
    </xf>
    <xf numFmtId="0" fontId="16" fillId="0" borderId="2" xfId="2" applyFont="1" applyBorder="1" applyAlignment="1">
      <alignment horizontal="center"/>
    </xf>
    <xf numFmtId="169" fontId="9" fillId="4" borderId="11" xfId="2" applyNumberFormat="1" applyFont="1" applyFill="1" applyBorder="1" applyAlignment="1">
      <alignment horizontal="center"/>
    </xf>
    <xf numFmtId="169" fontId="12" fillId="4" borderId="11" xfId="2" applyNumberFormat="1" applyFont="1" applyFill="1" applyBorder="1" applyAlignment="1">
      <alignment horizontal="center"/>
    </xf>
    <xf numFmtId="169" fontId="13" fillId="4" borderId="11" xfId="2" applyNumberFormat="1" applyFont="1" applyFill="1" applyBorder="1" applyAlignment="1">
      <alignment horizontal="center"/>
    </xf>
    <xf numFmtId="169" fontId="12" fillId="4" borderId="12" xfId="2" applyNumberFormat="1" applyFont="1" applyFill="1" applyBorder="1" applyAlignment="1">
      <alignment horizontal="center"/>
    </xf>
    <xf numFmtId="0" fontId="21" fillId="0" borderId="0" xfId="0" applyFont="1"/>
    <xf numFmtId="170" fontId="19" fillId="5" borderId="1" xfId="1" applyNumberFormat="1" applyFont="1" applyFill="1" applyBorder="1" applyAlignment="1">
      <alignment horizontal="center"/>
    </xf>
    <xf numFmtId="169" fontId="9" fillId="5" borderId="1" xfId="0" applyNumberFormat="1" applyFont="1" applyFill="1" applyBorder="1" applyAlignment="1">
      <alignment horizontal="center"/>
    </xf>
    <xf numFmtId="170" fontId="9" fillId="5" borderId="1" xfId="1" applyNumberFormat="1" applyFont="1" applyFill="1" applyAlignment="1">
      <alignment horizontal="center"/>
    </xf>
    <xf numFmtId="173" fontId="5" fillId="4" borderId="2" xfId="0" applyNumberFormat="1" applyFont="1" applyFill="1" applyBorder="1"/>
    <xf numFmtId="173" fontId="5" fillId="4" borderId="6" xfId="0" applyNumberFormat="1" applyFont="1" applyFill="1" applyBorder="1"/>
    <xf numFmtId="174" fontId="9" fillId="0" borderId="0" xfId="0" applyNumberFormat="1" applyFont="1"/>
    <xf numFmtId="174" fontId="12" fillId="0" borderId="0" xfId="0" applyNumberFormat="1" applyFont="1"/>
    <xf numFmtId="173" fontId="12" fillId="0" borderId="0" xfId="0" applyNumberFormat="1" applyFont="1"/>
    <xf numFmtId="41" fontId="12" fillId="0" borderId="0" xfId="0" applyNumberFormat="1" applyFont="1"/>
    <xf numFmtId="173" fontId="13" fillId="0" borderId="0" xfId="0" applyNumberFormat="1" applyFont="1"/>
    <xf numFmtId="171" fontId="9" fillId="0" borderId="0" xfId="0" applyNumberFormat="1" applyFont="1" applyFill="1" applyBorder="1"/>
    <xf numFmtId="0" fontId="11" fillId="4" borderId="2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173" fontId="9" fillId="0" borderId="0" xfId="0" applyNumberFormat="1" applyFont="1" applyBorder="1"/>
    <xf numFmtId="173" fontId="12" fillId="0" borderId="0" xfId="0" applyNumberFormat="1" applyFont="1" applyBorder="1"/>
    <xf numFmtId="41" fontId="9" fillId="0" borderId="0" xfId="0" applyNumberFormat="1" applyFont="1" applyBorder="1"/>
    <xf numFmtId="41" fontId="12" fillId="0" borderId="0" xfId="0" applyNumberFormat="1" applyFont="1" applyBorder="1"/>
    <xf numFmtId="174" fontId="5" fillId="0" borderId="6" xfId="0" applyNumberFormat="1" applyFont="1" applyBorder="1"/>
    <xf numFmtId="174" fontId="5" fillId="0" borderId="0" xfId="0" applyNumberFormat="1" applyFont="1"/>
    <xf numFmtId="174" fontId="9" fillId="0" borderId="0" xfId="0" applyNumberFormat="1" applyFont="1" applyAlignment="1">
      <alignment horizontal="center"/>
    </xf>
    <xf numFmtId="174" fontId="9" fillId="0" borderId="0" xfId="0" applyNumberFormat="1" applyFont="1" applyBorder="1" applyAlignment="1">
      <alignment horizontal="center"/>
    </xf>
    <xf numFmtId="174" fontId="5" fillId="0" borderId="6" xfId="0" applyNumberFormat="1" applyFont="1" applyBorder="1" applyAlignment="1">
      <alignment horizontal="center"/>
    </xf>
    <xf numFmtId="174" fontId="9" fillId="0" borderId="0" xfId="0" applyNumberFormat="1" applyFont="1" applyBorder="1"/>
    <xf numFmtId="174" fontId="12" fillId="0" borderId="0" xfId="0" applyNumberFormat="1" applyFont="1" applyBorder="1"/>
    <xf numFmtId="174" fontId="9" fillId="5" borderId="1" xfId="0" applyNumberFormat="1" applyFont="1" applyFill="1" applyBorder="1"/>
    <xf numFmtId="174" fontId="9" fillId="0" borderId="0" xfId="0" applyNumberFormat="1" applyFont="1" applyFill="1" applyBorder="1"/>
    <xf numFmtId="170" fontId="19" fillId="5" borderId="1" xfId="1" applyNumberFormat="1" applyFont="1" applyFill="1" applyAlignment="1">
      <alignment horizontal="center"/>
    </xf>
    <xf numFmtId="41" fontId="12" fillId="0" borderId="2" xfId="0" applyNumberFormat="1" applyFont="1" applyFill="1" applyBorder="1"/>
    <xf numFmtId="169" fontId="12" fillId="0" borderId="17" xfId="0" applyNumberFormat="1" applyFont="1" applyFill="1" applyBorder="1" applyAlignment="1">
      <alignment horizontal="center"/>
    </xf>
    <xf numFmtId="170" fontId="10" fillId="0" borderId="9" xfId="1" applyNumberFormat="1" applyFont="1" applyFill="1" applyBorder="1" applyAlignment="1">
      <alignment horizontal="center"/>
    </xf>
    <xf numFmtId="170" fontId="10" fillId="0" borderId="7" xfId="1" applyNumberFormat="1" applyFont="1" applyFill="1" applyBorder="1" applyAlignment="1">
      <alignment horizontal="center"/>
    </xf>
    <xf numFmtId="170" fontId="10" fillId="0" borderId="0" xfId="1" applyNumberFormat="1" applyFont="1" applyFill="1" applyBorder="1" applyAlignment="1">
      <alignment horizontal="center"/>
    </xf>
    <xf numFmtId="170" fontId="18" fillId="0" borderId="0" xfId="1" applyNumberFormat="1" applyFont="1" applyFill="1" applyBorder="1" applyAlignment="1">
      <alignment horizontal="center"/>
    </xf>
    <xf numFmtId="169" fontId="13" fillId="0" borderId="0" xfId="0" applyNumberFormat="1" applyFont="1" applyFill="1" applyBorder="1" applyAlignment="1">
      <alignment horizontal="center"/>
    </xf>
    <xf numFmtId="169" fontId="12" fillId="0" borderId="6" xfId="0" applyNumberFormat="1" applyFont="1" applyFill="1" applyBorder="1" applyAlignment="1">
      <alignment horizontal="center"/>
    </xf>
    <xf numFmtId="169" fontId="12" fillId="0" borderId="0" xfId="0" applyNumberFormat="1" applyFont="1" applyFill="1" applyBorder="1" applyAlignment="1">
      <alignment horizontal="center"/>
    </xf>
    <xf numFmtId="169" fontId="13" fillId="0" borderId="6" xfId="0" applyNumberFormat="1" applyFont="1" applyFill="1" applyBorder="1" applyAlignment="1">
      <alignment horizontal="center"/>
    </xf>
    <xf numFmtId="170" fontId="10" fillId="0" borderId="0" xfId="1" applyNumberFormat="1" applyFont="1" applyFill="1" applyBorder="1" applyAlignment="1"/>
    <xf numFmtId="167" fontId="9" fillId="0" borderId="18" xfId="1" applyNumberFormat="1" applyFont="1" applyFill="1" applyBorder="1" applyAlignment="1">
      <alignment horizontal="center"/>
    </xf>
    <xf numFmtId="167" fontId="9" fillId="0" borderId="6" xfId="1" applyNumberFormat="1" applyFont="1" applyFill="1" applyBorder="1" applyAlignment="1">
      <alignment horizontal="center"/>
    </xf>
    <xf numFmtId="170" fontId="9" fillId="5" borderId="1" xfId="1" applyNumberFormat="1" applyFont="1" applyFill="1" applyBorder="1" applyAlignment="1">
      <alignment horizontal="center"/>
    </xf>
    <xf numFmtId="167" fontId="9" fillId="0" borderId="0" xfId="1" applyNumberFormat="1" applyFont="1" applyFill="1" applyBorder="1" applyAlignment="1">
      <alignment horizontal="center"/>
    </xf>
    <xf numFmtId="167" fontId="9" fillId="0" borderId="19" xfId="1" applyNumberFormat="1" applyFont="1" applyFill="1" applyBorder="1" applyAlignment="1">
      <alignment horizontal="center"/>
    </xf>
    <xf numFmtId="43" fontId="9" fillId="5" borderId="20" xfId="0" applyNumberFormat="1" applyFont="1" applyFill="1" applyBorder="1"/>
    <xf numFmtId="176" fontId="12" fillId="5" borderId="20" xfId="0" applyNumberFormat="1" applyFont="1" applyFill="1" applyBorder="1"/>
    <xf numFmtId="170" fontId="12" fillId="5" borderId="1" xfId="1" applyNumberFormat="1" applyFont="1" applyFill="1" applyAlignment="1">
      <alignment horizontal="center"/>
    </xf>
    <xf numFmtId="173" fontId="13" fillId="0" borderId="0" xfId="0" applyNumberFormat="1" applyFont="1" applyBorder="1"/>
    <xf numFmtId="41" fontId="12" fillId="0" borderId="2" xfId="0" applyNumberFormat="1" applyFont="1" applyBorder="1"/>
    <xf numFmtId="174" fontId="5" fillId="0" borderId="0" xfId="0" applyNumberFormat="1" applyFont="1" applyBorder="1" applyAlignment="1">
      <alignment horizontal="center"/>
    </xf>
    <xf numFmtId="178" fontId="13" fillId="5" borderId="8" xfId="1" applyNumberFormat="1" applyFont="1" applyFill="1" applyBorder="1"/>
    <xf numFmtId="178" fontId="12" fillId="5" borderId="8" xfId="1" applyNumberFormat="1" applyFont="1" applyFill="1" applyBorder="1"/>
    <xf numFmtId="41" fontId="12" fillId="5" borderId="1" xfId="1" applyNumberFormat="1" applyFont="1" applyFill="1"/>
    <xf numFmtId="0" fontId="2" fillId="0" borderId="0" xfId="0" applyFont="1"/>
    <xf numFmtId="0" fontId="2" fillId="4" borderId="2" xfId="0" applyFont="1" applyFill="1" applyBorder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indent="1"/>
    </xf>
    <xf numFmtId="0" fontId="5" fillId="0" borderId="6" xfId="0" applyFont="1" applyBorder="1" applyAlignment="1">
      <alignment horizontal="left"/>
    </xf>
    <xf numFmtId="174" fontId="12" fillId="0" borderId="0" xfId="0" applyNumberFormat="1" applyFont="1" applyFill="1" applyBorder="1"/>
    <xf numFmtId="174" fontId="13" fillId="0" borderId="6" xfId="0" applyNumberFormat="1" applyFont="1" applyFill="1" applyBorder="1"/>
    <xf numFmtId="173" fontId="9" fillId="5" borderId="1" xfId="1" applyNumberFormat="1" applyFont="1" applyFill="1"/>
    <xf numFmtId="0" fontId="2" fillId="0" borderId="0" xfId="0" applyFont="1" applyBorder="1" applyAlignment="1">
      <alignment horizontal="left" indent="1"/>
    </xf>
    <xf numFmtId="0" fontId="2" fillId="0" borderId="0" xfId="0" applyFont="1" applyBorder="1"/>
    <xf numFmtId="0" fontId="2" fillId="4" borderId="6" xfId="0" applyFont="1" applyFill="1" applyBorder="1"/>
    <xf numFmtId="0" fontId="2" fillId="0" borderId="0" xfId="0" applyFont="1" applyBorder="1" applyAlignment="1"/>
    <xf numFmtId="173" fontId="2" fillId="0" borderId="0" xfId="0" applyNumberFormat="1" applyFont="1"/>
    <xf numFmtId="0" fontId="2" fillId="0" borderId="6" xfId="0" applyFont="1" applyBorder="1"/>
    <xf numFmtId="174" fontId="2" fillId="0" borderId="0" xfId="0" applyNumberFormat="1" applyFont="1"/>
    <xf numFmtId="41" fontId="2" fillId="0" borderId="0" xfId="0" applyNumberFormat="1" applyFont="1"/>
    <xf numFmtId="170" fontId="2" fillId="0" borderId="2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0" applyNumberFormat="1" applyFont="1"/>
    <xf numFmtId="165" fontId="2" fillId="0" borderId="0" xfId="0" applyNumberFormat="1" applyFont="1"/>
    <xf numFmtId="177" fontId="2" fillId="0" borderId="0" xfId="0" applyNumberFormat="1" applyFont="1"/>
    <xf numFmtId="44" fontId="2" fillId="0" borderId="0" xfId="0" applyNumberFormat="1" applyFont="1" applyBorder="1"/>
    <xf numFmtId="175" fontId="2" fillId="0" borderId="0" xfId="0" applyNumberFormat="1" applyFont="1"/>
    <xf numFmtId="9" fontId="2" fillId="0" borderId="0" xfId="0" applyNumberFormat="1" applyFont="1"/>
    <xf numFmtId="165" fontId="2" fillId="0" borderId="0" xfId="0" applyNumberFormat="1" applyFont="1" applyBorder="1"/>
    <xf numFmtId="174" fontId="2" fillId="0" borderId="2" xfId="0" applyNumberFormat="1" applyFont="1" applyBorder="1"/>
    <xf numFmtId="0" fontId="2" fillId="0" borderId="0" xfId="0" applyFont="1" applyAlignment="1">
      <alignment horizontal="left" indent="2"/>
    </xf>
    <xf numFmtId="0" fontId="2" fillId="0" borderId="0" xfId="0" applyNumberFormat="1" applyFont="1" applyBorder="1" applyAlignment="1"/>
    <xf numFmtId="0" fontId="2" fillId="0" borderId="2" xfId="0" applyFont="1" applyBorder="1" applyAlignment="1">
      <alignment horizontal="left" indent="2"/>
    </xf>
    <xf numFmtId="0" fontId="2" fillId="0" borderId="2" xfId="0" applyFont="1" applyBorder="1"/>
    <xf numFmtId="0" fontId="2" fillId="0" borderId="2" xfId="0" applyFont="1" applyBorder="1" applyAlignment="1">
      <alignment horizontal="left" indent="1"/>
    </xf>
    <xf numFmtId="169" fontId="2" fillId="0" borderId="0" xfId="0" applyNumberFormat="1" applyFont="1"/>
    <xf numFmtId="174" fontId="2" fillId="0" borderId="6" xfId="0" applyNumberFormat="1" applyFont="1" applyBorder="1"/>
    <xf numFmtId="174" fontId="2" fillId="0" borderId="0" xfId="0" applyNumberFormat="1" applyFont="1" applyBorder="1"/>
    <xf numFmtId="172" fontId="2" fillId="0" borderId="0" xfId="0" applyNumberFormat="1" applyFont="1"/>
    <xf numFmtId="179" fontId="9" fillId="5" borderId="20" xfId="0" applyNumberFormat="1" applyFont="1" applyFill="1" applyBorder="1" applyAlignment="1">
      <alignment horizontal="center"/>
    </xf>
    <xf numFmtId="37" fontId="12" fillId="0" borderId="0" xfId="0" applyNumberFormat="1" applyFont="1" applyAlignment="1">
      <alignment horizontal="center"/>
    </xf>
    <xf numFmtId="174" fontId="5" fillId="0" borderId="0" xfId="0" applyNumberFormat="1" applyFont="1" applyBorder="1"/>
    <xf numFmtId="170" fontId="2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left" indent="2"/>
    </xf>
    <xf numFmtId="170" fontId="20" fillId="0" borderId="0" xfId="1" applyNumberFormat="1" applyFont="1" applyFill="1" applyBorder="1" applyAlignment="1"/>
    <xf numFmtId="0" fontId="1" fillId="0" borderId="0" xfId="0" applyFont="1" applyAlignment="1">
      <alignment horizontal="left" indent="1"/>
    </xf>
    <xf numFmtId="0" fontId="1" fillId="0" borderId="0" xfId="0" applyFont="1" applyBorder="1" applyAlignment="1">
      <alignment horizontal="left" indent="1"/>
    </xf>
    <xf numFmtId="173" fontId="13" fillId="0" borderId="6" xfId="0" applyNumberFormat="1" applyFont="1" applyBorder="1"/>
    <xf numFmtId="173" fontId="5" fillId="0" borderId="0" xfId="0" applyNumberFormat="1" applyFont="1"/>
    <xf numFmtId="173" fontId="11" fillId="0" borderId="0" xfId="0" applyNumberFormat="1" applyFont="1" applyBorder="1" applyAlignment="1">
      <alignment horizontal="center"/>
    </xf>
    <xf numFmtId="173" fontId="5" fillId="0" borderId="6" xfId="0" applyNumberFormat="1" applyFont="1" applyBorder="1"/>
    <xf numFmtId="173" fontId="13" fillId="5" borderId="8" xfId="1" applyNumberFormat="1" applyFont="1" applyFill="1" applyBorder="1"/>
    <xf numFmtId="173" fontId="2" fillId="0" borderId="0" xfId="0" applyNumberFormat="1" applyFont="1" applyBorder="1"/>
    <xf numFmtId="169" fontId="12" fillId="0" borderId="2" xfId="0" applyNumberFormat="1" applyFont="1" applyFill="1" applyBorder="1" applyAlignment="1">
      <alignment horizontal="center"/>
    </xf>
    <xf numFmtId="174" fontId="2" fillId="0" borderId="2" xfId="1" applyNumberFormat="1" applyFont="1" applyFill="1" applyBorder="1"/>
    <xf numFmtId="0" fontId="4" fillId="6" borderId="13" xfId="2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quotePrefix="1" applyFont="1"/>
  </cellXfs>
  <cellStyles count="3">
    <cellStyle name="Normal" xfId="0" builtinId="0"/>
    <cellStyle name="Normal 2" xfId="2" xr:uid="{00000000-0005-0000-0000-000001000000}"/>
    <cellStyle name="Note" xfId="1" builtinId="10"/>
  </cellStyles>
  <dxfs count="0"/>
  <tableStyles count="0" defaultTableStyle="TableStyleMedium2" defaultPivotStyle="PivotStyleLight16"/>
  <colors>
    <mruColors>
      <color rgb="FF0000FF"/>
      <color rgb="FFB2B2B2"/>
      <color rgb="FFFFFF99"/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B2:X255"/>
  <sheetViews>
    <sheetView showGridLines="0" tabSelected="1" topLeftCell="A138" zoomScaleNormal="100" workbookViewId="0">
      <selection activeCell="B139" sqref="B139"/>
    </sheetView>
  </sheetViews>
  <sheetFormatPr defaultRowHeight="15.75" customHeight="1" outlineLevelRow="1" outlineLevelCol="1" x14ac:dyDescent="0.25"/>
  <cols>
    <col min="1" max="2" width="2.7109375" style="130" customWidth="1"/>
    <col min="3" max="3" width="40.85546875" style="130" customWidth="1"/>
    <col min="4" max="4" width="12.7109375" style="130" customWidth="1"/>
    <col min="5" max="8" width="12.7109375" style="130" customWidth="1" outlineLevel="1"/>
    <col min="9" max="13" width="12.7109375" style="130" customWidth="1"/>
    <col min="14" max="15" width="2.7109375" style="130" customWidth="1"/>
    <col min="16" max="24" width="12.7109375" style="130" customWidth="1"/>
    <col min="25" max="16384" width="9.140625" style="130"/>
  </cols>
  <sheetData>
    <row r="2" spans="2:13" ht="15.75" customHeight="1" x14ac:dyDescent="0.3">
      <c r="B2" s="77" t="str">
        <f>Company_Name&amp;" - 90-Minute LBO Case Study Model Test"</f>
        <v>NichiiGakkan Co., Ltd. - 90-Minute LBO Case Study Model Test</v>
      </c>
    </row>
    <row r="3" spans="2:13" ht="15.75" customHeight="1" x14ac:dyDescent="0.25">
      <c r="B3" s="130" t="s">
        <v>105</v>
      </c>
    </row>
    <row r="5" spans="2:13" ht="15.75" customHeight="1" x14ac:dyDescent="0.25">
      <c r="B5" s="4" t="s">
        <v>191</v>
      </c>
      <c r="C5" s="5"/>
      <c r="D5" s="34" t="s">
        <v>31</v>
      </c>
      <c r="E5" s="6"/>
      <c r="F5" s="7"/>
      <c r="G5" s="7"/>
      <c r="H5" s="7"/>
      <c r="I5" s="7"/>
      <c r="J5" s="6"/>
      <c r="K5" s="7"/>
      <c r="L5" s="7"/>
      <c r="M5" s="7"/>
    </row>
    <row r="6" spans="2:13" ht="15.75" customHeight="1" outlineLevel="1" x14ac:dyDescent="0.25"/>
    <row r="7" spans="2:13" ht="15.75" customHeight="1" outlineLevel="1" x14ac:dyDescent="0.25">
      <c r="C7" s="130" t="s">
        <v>0</v>
      </c>
      <c r="D7" s="46" t="s">
        <v>108</v>
      </c>
      <c r="E7" s="33" t="s">
        <v>107</v>
      </c>
      <c r="F7" s="33"/>
      <c r="H7" s="9" t="s">
        <v>75</v>
      </c>
      <c r="I7" s="131"/>
      <c r="J7" s="131"/>
      <c r="K7" s="89" t="s">
        <v>129</v>
      </c>
      <c r="L7" s="81">
        <f>E12*E13</f>
        <v>109098.08030475001</v>
      </c>
    </row>
    <row r="8" spans="2:13" ht="15.75" customHeight="1" outlineLevel="1" x14ac:dyDescent="0.25">
      <c r="C8" s="130" t="s">
        <v>62</v>
      </c>
      <c r="D8" s="46" t="s">
        <v>108</v>
      </c>
      <c r="E8" s="33" t="s">
        <v>106</v>
      </c>
      <c r="H8" s="133" t="s">
        <v>113</v>
      </c>
      <c r="K8" s="46" t="s">
        <v>129</v>
      </c>
      <c r="L8" s="84">
        <f>-18520.613-317.586-272.277-6961.199</f>
        <v>-26071.674999999999</v>
      </c>
    </row>
    <row r="9" spans="2:13" ht="15.75" customHeight="1" outlineLevel="1" x14ac:dyDescent="0.25">
      <c r="H9" s="133" t="s">
        <v>76</v>
      </c>
      <c r="K9" s="46" t="s">
        <v>129</v>
      </c>
      <c r="L9" s="84">
        <f>5658.268+6729.863+8962.91</f>
        <v>21351.041000000001</v>
      </c>
    </row>
    <row r="10" spans="2:13" ht="15.75" customHeight="1" outlineLevel="1" x14ac:dyDescent="0.25">
      <c r="C10" s="130" t="s">
        <v>64</v>
      </c>
      <c r="D10" s="46" t="s">
        <v>109</v>
      </c>
      <c r="E10" s="137">
        <v>1095</v>
      </c>
      <c r="H10" s="133" t="s">
        <v>116</v>
      </c>
      <c r="K10" s="46" t="s">
        <v>129</v>
      </c>
      <c r="L10" s="83">
        <v>591.68899999999996</v>
      </c>
    </row>
    <row r="11" spans="2:13" ht="15.75" customHeight="1" outlineLevel="1" x14ac:dyDescent="0.25">
      <c r="C11" s="138" t="s">
        <v>117</v>
      </c>
      <c r="D11" s="46" t="s">
        <v>30</v>
      </c>
      <c r="E11" s="78">
        <v>0.52500000000000002</v>
      </c>
      <c r="H11" s="133" t="s">
        <v>114</v>
      </c>
      <c r="K11" s="46" t="s">
        <v>129</v>
      </c>
      <c r="L11" s="83">
        <v>8001.6819999999998</v>
      </c>
    </row>
    <row r="12" spans="2:13" ht="15.75" customHeight="1" outlineLevel="1" x14ac:dyDescent="0.25">
      <c r="C12" s="139" t="s">
        <v>65</v>
      </c>
      <c r="D12" s="46" t="s">
        <v>109</v>
      </c>
      <c r="E12" s="129">
        <f>E10*(1+E11)</f>
        <v>1669.875</v>
      </c>
      <c r="F12" s="152"/>
      <c r="H12" s="65" t="s">
        <v>19</v>
      </c>
      <c r="I12" s="140"/>
      <c r="J12" s="140"/>
      <c r="K12" s="90" t="s">
        <v>129</v>
      </c>
      <c r="L12" s="82">
        <f>SUM(L7:L11)</f>
        <v>112970.81730475</v>
      </c>
    </row>
    <row r="13" spans="2:13" ht="15.75" customHeight="1" outlineLevel="1" x14ac:dyDescent="0.25">
      <c r="C13" s="130" t="s">
        <v>74</v>
      </c>
      <c r="D13" s="46" t="s">
        <v>110</v>
      </c>
      <c r="E13" s="64">
        <v>65.333082000000005</v>
      </c>
    </row>
    <row r="14" spans="2:13" ht="15.75" customHeight="1" outlineLevel="1" x14ac:dyDescent="0.25">
      <c r="D14" s="46"/>
      <c r="E14" s="88"/>
      <c r="H14" s="130" t="s">
        <v>73</v>
      </c>
      <c r="K14" s="46" t="s">
        <v>129</v>
      </c>
      <c r="L14" s="142">
        <f>H111-H107-H108</f>
        <v>20286.03999999999</v>
      </c>
    </row>
    <row r="15" spans="2:13" ht="15.75" customHeight="1" outlineLevel="1" x14ac:dyDescent="0.25">
      <c r="C15" s="141" t="s">
        <v>1</v>
      </c>
      <c r="D15" s="46" t="s">
        <v>111</v>
      </c>
      <c r="E15" s="8">
        <v>43921</v>
      </c>
      <c r="H15" s="130" t="s">
        <v>166</v>
      </c>
      <c r="K15" s="46" t="s">
        <v>54</v>
      </c>
      <c r="L15" s="63">
        <f>L12/LTM_EBITDA</f>
        <v>5.5688945355895019</v>
      </c>
    </row>
    <row r="16" spans="2:13" ht="15.75" customHeight="1" outlineLevel="1" x14ac:dyDescent="0.25">
      <c r="C16" s="130" t="s">
        <v>31</v>
      </c>
      <c r="D16" s="46" t="s">
        <v>53</v>
      </c>
      <c r="E16" s="62">
        <v>1000000</v>
      </c>
    </row>
    <row r="17" spans="2:13" ht="15.75" customHeight="1" outlineLevel="1" x14ac:dyDescent="0.25">
      <c r="H17" s="130" t="s">
        <v>112</v>
      </c>
      <c r="K17" s="46" t="s">
        <v>30</v>
      </c>
      <c r="L17" s="80">
        <v>0.1</v>
      </c>
    </row>
    <row r="18" spans="2:13" ht="15.75" customHeight="1" outlineLevel="1" x14ac:dyDescent="0.25">
      <c r="C18" s="130" t="s">
        <v>77</v>
      </c>
      <c r="D18" s="46" t="s">
        <v>30</v>
      </c>
      <c r="E18" s="78">
        <v>0.02</v>
      </c>
      <c r="H18" s="130" t="s">
        <v>78</v>
      </c>
      <c r="K18" s="46" t="s">
        <v>129</v>
      </c>
      <c r="L18" s="102">
        <v>20000</v>
      </c>
    </row>
    <row r="19" spans="2:13" ht="15.75" customHeight="1" outlineLevel="1" x14ac:dyDescent="0.25"/>
    <row r="20" spans="2:13" ht="15.75" customHeight="1" outlineLevel="1" x14ac:dyDescent="0.25">
      <c r="C20" s="130" t="s">
        <v>126</v>
      </c>
      <c r="D20" s="46" t="s">
        <v>30</v>
      </c>
      <c r="E20" s="104">
        <v>0.01</v>
      </c>
      <c r="H20" s="9" t="s">
        <v>156</v>
      </c>
      <c r="I20" s="131"/>
      <c r="J20" s="131"/>
      <c r="K20" s="131"/>
      <c r="L20" s="131"/>
    </row>
    <row r="21" spans="2:13" ht="15.75" customHeight="1" outlineLevel="1" x14ac:dyDescent="0.25">
      <c r="C21" s="130" t="s">
        <v>127</v>
      </c>
      <c r="D21" s="46" t="s">
        <v>30</v>
      </c>
      <c r="E21" s="104">
        <v>0.02</v>
      </c>
      <c r="H21" s="132" t="s">
        <v>157</v>
      </c>
      <c r="K21" s="46" t="s">
        <v>129</v>
      </c>
      <c r="L21" s="87">
        <f>L7</f>
        <v>109098.08030475001</v>
      </c>
    </row>
    <row r="22" spans="2:13" ht="15.75" customHeight="1" outlineLevel="1" x14ac:dyDescent="0.25">
      <c r="C22" s="130" t="s">
        <v>128</v>
      </c>
      <c r="D22" s="46" t="s">
        <v>129</v>
      </c>
      <c r="E22" s="102">
        <v>500</v>
      </c>
      <c r="H22" s="133" t="s">
        <v>158</v>
      </c>
      <c r="K22" s="46" t="s">
        <v>129</v>
      </c>
      <c r="L22" s="135">
        <f>-43598.764+417.784-252.528</f>
        <v>-43433.508000000002</v>
      </c>
    </row>
    <row r="23" spans="2:13" ht="15.75" customHeight="1" outlineLevel="1" x14ac:dyDescent="0.25">
      <c r="H23" s="133" t="s">
        <v>159</v>
      </c>
      <c r="K23" s="43" t="s">
        <v>129</v>
      </c>
      <c r="L23" s="103">
        <v>7423.518</v>
      </c>
    </row>
    <row r="24" spans="2:13" ht="15.75" customHeight="1" outlineLevel="1" x14ac:dyDescent="0.25">
      <c r="H24" s="134" t="s">
        <v>160</v>
      </c>
      <c r="I24" s="143"/>
      <c r="J24" s="143"/>
      <c r="K24" s="46" t="s">
        <v>129</v>
      </c>
      <c r="L24" s="136">
        <f>SUM(L21:L23)</f>
        <v>73088.090304750003</v>
      </c>
    </row>
    <row r="25" spans="2:13" ht="15.75" customHeight="1" outlineLevel="1" x14ac:dyDescent="0.25">
      <c r="H25" s="172" t="s">
        <v>177</v>
      </c>
      <c r="K25" s="43" t="s">
        <v>129</v>
      </c>
      <c r="L25" s="103">
        <v>0</v>
      </c>
    </row>
    <row r="26" spans="2:13" ht="15.75" customHeight="1" outlineLevel="1" x14ac:dyDescent="0.25">
      <c r="H26" s="32" t="s">
        <v>163</v>
      </c>
      <c r="I26" s="143"/>
      <c r="J26" s="143"/>
      <c r="K26" s="46" t="s">
        <v>129</v>
      </c>
      <c r="L26" s="174">
        <f>SUM(L24:L25)</f>
        <v>73088.090304750003</v>
      </c>
    </row>
    <row r="27" spans="2:13" ht="15.75" customHeight="1" outlineLevel="1" x14ac:dyDescent="0.25">
      <c r="K27" s="46"/>
      <c r="L27" s="103"/>
    </row>
    <row r="28" spans="2:13" ht="15.75" customHeight="1" outlineLevel="1" x14ac:dyDescent="0.25">
      <c r="H28" s="130" t="s">
        <v>161</v>
      </c>
      <c r="K28" s="46" t="s">
        <v>162</v>
      </c>
      <c r="L28" s="165">
        <v>10</v>
      </c>
    </row>
    <row r="29" spans="2:13" ht="15.75" customHeight="1" x14ac:dyDescent="0.25">
      <c r="K29" s="46"/>
      <c r="L29" s="103"/>
    </row>
    <row r="30" spans="2:13" ht="15.75" customHeight="1" x14ac:dyDescent="0.25">
      <c r="B30" s="4" t="s">
        <v>2</v>
      </c>
      <c r="C30" s="5"/>
      <c r="D30" s="6"/>
      <c r="E30" s="6"/>
      <c r="F30" s="7"/>
      <c r="G30" s="7"/>
      <c r="H30" s="7"/>
      <c r="I30" s="7"/>
      <c r="J30" s="6"/>
      <c r="K30" s="7"/>
      <c r="L30" s="7"/>
      <c r="M30" s="7"/>
    </row>
    <row r="31" spans="2:13" ht="15.75" customHeight="1" outlineLevel="1" x14ac:dyDescent="0.25">
      <c r="D31" s="142"/>
    </row>
    <row r="32" spans="2:13" ht="15.75" customHeight="1" outlineLevel="1" x14ac:dyDescent="0.25">
      <c r="C32" s="9" t="s">
        <v>23</v>
      </c>
      <c r="D32" s="29" t="s">
        <v>129</v>
      </c>
      <c r="E32" s="29" t="s">
        <v>18</v>
      </c>
      <c r="F32" s="28" t="s">
        <v>22</v>
      </c>
      <c r="H32" s="9" t="s">
        <v>21</v>
      </c>
      <c r="I32" s="131"/>
      <c r="J32" s="131"/>
      <c r="K32" s="29" t="s">
        <v>129</v>
      </c>
      <c r="L32" s="29" t="s">
        <v>18</v>
      </c>
    </row>
    <row r="33" spans="2:13" ht="15.75" customHeight="1" outlineLevel="1" x14ac:dyDescent="0.25">
      <c r="C33" s="133" t="s">
        <v>11</v>
      </c>
      <c r="D33" s="142">
        <f>E33*LTM_EBITDA</f>
        <v>0</v>
      </c>
      <c r="E33" s="79">
        <v>0</v>
      </c>
      <c r="F33" s="107">
        <f>D33/$D$39</f>
        <v>0</v>
      </c>
      <c r="H33" s="133" t="s">
        <v>75</v>
      </c>
      <c r="K33" s="85">
        <f>L7</f>
        <v>109098.08030475001</v>
      </c>
      <c r="L33" s="112">
        <f>K33/LTM_EBITDA</f>
        <v>5.3779880304263452</v>
      </c>
    </row>
    <row r="34" spans="2:13" ht="15.75" customHeight="1" outlineLevel="1" x14ac:dyDescent="0.25">
      <c r="C34" s="133" t="s">
        <v>71</v>
      </c>
      <c r="D34" s="144">
        <f>E34*LTM_EBITDA</f>
        <v>60858.119999999966</v>
      </c>
      <c r="E34" s="79">
        <v>3</v>
      </c>
      <c r="F34" s="108">
        <f t="shared" ref="F34:F38" si="0">D34/$D$39</f>
        <v>0.4524911042911493</v>
      </c>
      <c r="H34" s="133" t="s">
        <v>115</v>
      </c>
      <c r="K34" s="86">
        <f>L9</f>
        <v>21351.041000000001</v>
      </c>
      <c r="L34" s="113">
        <f>K34/LTM_EBITDA</f>
        <v>1.0524992063507719</v>
      </c>
    </row>
    <row r="35" spans="2:13" ht="15.75" customHeight="1" outlineLevel="1" x14ac:dyDescent="0.25">
      <c r="C35" s="133" t="s">
        <v>72</v>
      </c>
      <c r="D35" s="144">
        <f>E35*LTM_EBITDA</f>
        <v>20286.03999999999</v>
      </c>
      <c r="E35" s="79">
        <v>1</v>
      </c>
      <c r="F35" s="108">
        <f t="shared" si="0"/>
        <v>0.15083036809704978</v>
      </c>
      <c r="H35" s="133" t="s">
        <v>77</v>
      </c>
      <c r="K35" s="145">
        <f>E18*L9</f>
        <v>427.02082000000001</v>
      </c>
      <c r="L35" s="113">
        <f>K35/LTM_EBITDA</f>
        <v>2.1049984127015437E-2</v>
      </c>
    </row>
    <row r="36" spans="2:13" ht="15.75" customHeight="1" outlineLevel="1" x14ac:dyDescent="0.25">
      <c r="C36" s="133" t="s">
        <v>16</v>
      </c>
      <c r="D36" s="144">
        <f>E36*LTM_EBITDA</f>
        <v>20286.03999999999</v>
      </c>
      <c r="E36" s="79">
        <v>1</v>
      </c>
      <c r="F36" s="108">
        <f t="shared" si="0"/>
        <v>0.15083036809704978</v>
      </c>
      <c r="H36" s="133" t="s">
        <v>125</v>
      </c>
      <c r="K36" s="145">
        <f>SUM(D33:D36)*E21</f>
        <v>2028.6039999999991</v>
      </c>
      <c r="L36" s="113">
        <f>K36/LTM_EBITDA</f>
        <v>0.1</v>
      </c>
    </row>
    <row r="37" spans="2:13" ht="15.75" customHeight="1" outlineLevel="1" x14ac:dyDescent="0.25">
      <c r="C37" s="133" t="s">
        <v>79</v>
      </c>
      <c r="D37" s="144">
        <f>-L8-Min_Cash</f>
        <v>6071.6749999999993</v>
      </c>
      <c r="E37" s="106">
        <f>D37/LTM_EBITDA</f>
        <v>0.29930311682319477</v>
      </c>
      <c r="F37" s="109">
        <f t="shared" si="0"/>
        <v>4.5143999283036765E-2</v>
      </c>
      <c r="H37" s="133" t="s">
        <v>17</v>
      </c>
      <c r="K37" s="105">
        <f>E20*L7+E22</f>
        <v>1590.9808030475001</v>
      </c>
      <c r="L37" s="113">
        <f>K37/LTM_EBITDA</f>
        <v>7.8427371879750851E-2</v>
      </c>
    </row>
    <row r="38" spans="2:13" ht="15.75" customHeight="1" outlineLevel="1" x14ac:dyDescent="0.25">
      <c r="C38" s="173" t="s">
        <v>178</v>
      </c>
      <c r="D38" s="181">
        <f>K38-SUM(D33:D37)</f>
        <v>26993.851927797557</v>
      </c>
      <c r="E38" s="180">
        <f>D38/LTM_EBITDA</f>
        <v>1.3306614759606887</v>
      </c>
      <c r="F38" s="146">
        <f t="shared" si="0"/>
        <v>0.20070416023171425</v>
      </c>
      <c r="H38" s="30" t="s">
        <v>9</v>
      </c>
      <c r="I38" s="143"/>
      <c r="J38" s="143"/>
      <c r="K38" s="87">
        <f>SUM(K33:K37)</f>
        <v>134495.72692779751</v>
      </c>
      <c r="L38" s="114">
        <f>SUM(L33:L37)</f>
        <v>6.6299645927838826</v>
      </c>
    </row>
    <row r="39" spans="2:13" ht="15.75" customHeight="1" outlineLevel="1" x14ac:dyDescent="0.25">
      <c r="C39" s="30" t="s">
        <v>8</v>
      </c>
      <c r="D39" s="87">
        <f>SUM(D33:D38)</f>
        <v>134495.72692779751</v>
      </c>
      <c r="E39" s="111">
        <f>SUM(E33:E38)</f>
        <v>6.6299645927838835</v>
      </c>
      <c r="F39" s="110">
        <f>SUM(F33:F38)</f>
        <v>0.99999999999999989</v>
      </c>
    </row>
    <row r="40" spans="2:13" ht="15.75" customHeight="1" x14ac:dyDescent="0.25">
      <c r="K40" s="142"/>
    </row>
    <row r="41" spans="2:13" ht="15.75" customHeight="1" x14ac:dyDescent="0.25">
      <c r="B41" s="4" t="s">
        <v>92</v>
      </c>
      <c r="C41" s="5"/>
      <c r="D41" s="6"/>
      <c r="E41" s="6"/>
      <c r="F41" s="7"/>
      <c r="G41" s="7"/>
      <c r="H41" s="7"/>
      <c r="I41" s="7"/>
      <c r="J41" s="6"/>
      <c r="K41" s="7"/>
      <c r="L41" s="7"/>
      <c r="M41" s="7"/>
    </row>
    <row r="42" spans="2:13" ht="15.75" customHeight="1" outlineLevel="1" x14ac:dyDescent="0.25"/>
    <row r="43" spans="2:13" ht="15.75" customHeight="1" outlineLevel="1" x14ac:dyDescent="0.25">
      <c r="C43" s="11"/>
      <c r="D43" s="28" t="s">
        <v>154</v>
      </c>
      <c r="E43" s="28" t="s">
        <v>154</v>
      </c>
      <c r="F43" s="28" t="s">
        <v>33</v>
      </c>
      <c r="G43" s="28" t="s">
        <v>10</v>
      </c>
      <c r="H43" s="28" t="s">
        <v>15</v>
      </c>
      <c r="I43" s="28" t="s">
        <v>175</v>
      </c>
      <c r="J43" s="28"/>
    </row>
    <row r="44" spans="2:13" ht="15.75" customHeight="1" outlineLevel="1" x14ac:dyDescent="0.25">
      <c r="C44" s="9" t="s">
        <v>93</v>
      </c>
      <c r="D44" s="29" t="s">
        <v>32</v>
      </c>
      <c r="E44" s="29" t="s">
        <v>13</v>
      </c>
      <c r="F44" s="29" t="s">
        <v>12</v>
      </c>
      <c r="G44" s="29" t="s">
        <v>14</v>
      </c>
      <c r="H44" s="29" t="s">
        <v>173</v>
      </c>
      <c r="I44" s="29" t="s">
        <v>176</v>
      </c>
      <c r="J44" s="29" t="s">
        <v>80</v>
      </c>
    </row>
    <row r="45" spans="2:13" ht="15.75" customHeight="1" outlineLevel="1" x14ac:dyDescent="0.25">
      <c r="C45" s="133" t="str">
        <f>+$C$33</f>
        <v>Revolver:</v>
      </c>
      <c r="D45" s="80">
        <v>5.0000000000000001E-3</v>
      </c>
      <c r="E45" s="80">
        <v>0.03</v>
      </c>
      <c r="F45" s="147"/>
      <c r="G45" s="10"/>
      <c r="H45" s="116"/>
      <c r="J45" s="117"/>
    </row>
    <row r="46" spans="2:13" ht="15.75" customHeight="1" outlineLevel="1" x14ac:dyDescent="0.25">
      <c r="C46" s="133" t="str">
        <f>+$C$34</f>
        <v>Term Loans:</v>
      </c>
      <c r="D46" s="80">
        <v>0.01</v>
      </c>
      <c r="E46" s="80">
        <v>0.04</v>
      </c>
      <c r="F46" s="147"/>
      <c r="G46" s="10"/>
      <c r="H46" s="118">
        <v>0.1</v>
      </c>
      <c r="I46" s="118">
        <v>0.5</v>
      </c>
      <c r="J46" s="119"/>
    </row>
    <row r="47" spans="2:13" ht="15.75" customHeight="1" outlineLevel="1" x14ac:dyDescent="0.25">
      <c r="C47" s="133" t="str">
        <f>+$C$35</f>
        <v>Subordinated Notes:</v>
      </c>
      <c r="D47" s="147"/>
      <c r="E47" s="147"/>
      <c r="F47" s="80">
        <v>0.04</v>
      </c>
      <c r="G47" s="80">
        <v>0.03</v>
      </c>
      <c r="H47" s="147"/>
      <c r="J47" s="120"/>
    </row>
    <row r="48" spans="2:13" ht="15.75" customHeight="1" outlineLevel="1" x14ac:dyDescent="0.25">
      <c r="C48" s="133" t="str">
        <f>+$C$36</f>
        <v>Mezzanine:</v>
      </c>
      <c r="D48" s="147"/>
      <c r="E48" s="147"/>
      <c r="F48" s="80">
        <v>0.05</v>
      </c>
      <c r="G48" s="80">
        <v>0.05</v>
      </c>
      <c r="H48" s="147"/>
      <c r="J48" s="80">
        <v>0.02</v>
      </c>
    </row>
    <row r="49" spans="2:13" ht="15.75" customHeight="1" outlineLevel="1" x14ac:dyDescent="0.25">
      <c r="C49" s="133" t="s">
        <v>70</v>
      </c>
      <c r="D49" s="147"/>
      <c r="E49" s="80">
        <v>5.0000000000000001E-3</v>
      </c>
      <c r="F49" s="147"/>
      <c r="G49" s="147"/>
      <c r="H49" s="147"/>
      <c r="I49" s="147"/>
    </row>
    <row r="51" spans="2:13" ht="15.75" customHeight="1" x14ac:dyDescent="0.25">
      <c r="B51" s="12"/>
      <c r="C51" s="13"/>
      <c r="D51" s="14"/>
      <c r="E51" s="15" t="s">
        <v>3</v>
      </c>
      <c r="F51" s="15"/>
      <c r="G51" s="16"/>
      <c r="H51" s="16"/>
      <c r="I51" s="17" t="s">
        <v>4</v>
      </c>
      <c r="J51" s="18"/>
      <c r="K51" s="16"/>
      <c r="L51" s="16"/>
      <c r="M51" s="16"/>
    </row>
    <row r="52" spans="2:13" ht="15.75" customHeight="1" x14ac:dyDescent="0.25">
      <c r="B52" s="31" t="s">
        <v>34</v>
      </c>
      <c r="C52" s="19"/>
      <c r="D52" s="34" t="str">
        <f>$D$5</f>
        <v>Units:</v>
      </c>
      <c r="E52" s="1">
        <f>EOMONTH(F52,-12)</f>
        <v>42825</v>
      </c>
      <c r="F52" s="1">
        <f>EOMONTH(G52,-12)</f>
        <v>43190</v>
      </c>
      <c r="G52" s="1">
        <f>EOMONTH(H52,-12)</f>
        <v>43555</v>
      </c>
      <c r="H52" s="2">
        <f>Hist_Year</f>
        <v>43921</v>
      </c>
      <c r="I52" s="61">
        <f>EOMONTH(H52,12)</f>
        <v>44286</v>
      </c>
      <c r="J52" s="1">
        <f>EOMONTH(I52,12)</f>
        <v>44651</v>
      </c>
      <c r="K52" s="1">
        <f>EOMONTH(J52,12)</f>
        <v>45016</v>
      </c>
      <c r="L52" s="1">
        <f>EOMONTH(K52,12)</f>
        <v>45382</v>
      </c>
      <c r="M52" s="1">
        <f>EOMONTH(L52,12)</f>
        <v>45747</v>
      </c>
    </row>
    <row r="53" spans="2:13" ht="15.75" customHeight="1" outlineLevel="1" x14ac:dyDescent="0.25"/>
    <row r="54" spans="2:13" ht="15.75" customHeight="1" outlineLevel="1" x14ac:dyDescent="0.25">
      <c r="C54" s="130" t="s">
        <v>130</v>
      </c>
      <c r="D54" s="46" t="s">
        <v>123</v>
      </c>
      <c r="E54" s="84">
        <f>AVERAGE(135697+46603+11108,E55)</f>
        <v>191084.5</v>
      </c>
      <c r="F54" s="101">
        <f>AVERAGE(E55,F55)</f>
        <v>183297</v>
      </c>
      <c r="G54" s="101">
        <f t="shared" ref="G54:H54" si="1">AVERAGE(F55,G55)</f>
        <v>174711</v>
      </c>
      <c r="H54" s="101">
        <f t="shared" si="1"/>
        <v>169571</v>
      </c>
      <c r="I54" s="101">
        <f>AVERAGE(H55,I55)</f>
        <v>165877.47</v>
      </c>
      <c r="J54" s="101">
        <f t="shared" ref="J54:M54" si="2">AVERAGE(I55,J55)</f>
        <v>165843.95939999999</v>
      </c>
      <c r="K54" s="101">
        <f t="shared" si="2"/>
        <v>171673.12827000002</v>
      </c>
      <c r="L54" s="101">
        <f t="shared" si="2"/>
        <v>179377.48329480004</v>
      </c>
      <c r="M54" s="101">
        <f t="shared" si="2"/>
        <v>185638.10918234405</v>
      </c>
    </row>
    <row r="55" spans="2:13" ht="15.75" customHeight="1" outlineLevel="1" x14ac:dyDescent="0.25">
      <c r="C55" s="130" t="s">
        <v>131</v>
      </c>
      <c r="D55" s="46" t="s">
        <v>123</v>
      </c>
      <c r="E55" s="101">
        <f>(131263+45549+11949)</f>
        <v>188761</v>
      </c>
      <c r="F55" s="101">
        <f>(122150+43215+12468)</f>
        <v>177833</v>
      </c>
      <c r="G55" s="101">
        <f>(117159+41393+13037)</f>
        <v>171589</v>
      </c>
      <c r="H55" s="101">
        <f>(114883+39407+13263)</f>
        <v>167553</v>
      </c>
      <c r="I55" s="101">
        <f>H55*(1+I56)</f>
        <v>164201.94</v>
      </c>
      <c r="J55" s="101">
        <f t="shared" ref="J55:M55" si="3">I55*(1+J56)</f>
        <v>167485.97880000001</v>
      </c>
      <c r="K55" s="101">
        <f t="shared" si="3"/>
        <v>175860.27774000002</v>
      </c>
      <c r="L55" s="101">
        <f t="shared" si="3"/>
        <v>182894.68884960003</v>
      </c>
      <c r="M55" s="101">
        <f t="shared" si="3"/>
        <v>188381.52951508804</v>
      </c>
    </row>
    <row r="56" spans="2:13" ht="15.75" customHeight="1" outlineLevel="1" x14ac:dyDescent="0.25">
      <c r="C56" s="133" t="s">
        <v>69</v>
      </c>
      <c r="D56" s="46" t="s">
        <v>30</v>
      </c>
      <c r="E56" s="115">
        <f>E55/(135697+46603+11108)-1</f>
        <v>-2.4026927531436093E-2</v>
      </c>
      <c r="F56" s="115">
        <f>F55/E55-1</f>
        <v>-5.7893314826685582E-2</v>
      </c>
      <c r="G56" s="115">
        <f>G55/F55-1</f>
        <v>-3.5111593461281121E-2</v>
      </c>
      <c r="H56" s="115">
        <f t="shared" ref="H56" si="4">H55/G55-1</f>
        <v>-2.3521321296819719E-2</v>
      </c>
      <c r="I56" s="80">
        <v>-0.02</v>
      </c>
      <c r="J56" s="80">
        <v>0.02</v>
      </c>
      <c r="K56" s="80">
        <v>0.05</v>
      </c>
      <c r="L56" s="80">
        <v>0.04</v>
      </c>
      <c r="M56" s="80">
        <v>0.03</v>
      </c>
    </row>
    <row r="57" spans="2:13" ht="15.75" customHeight="1" outlineLevel="1" x14ac:dyDescent="0.25">
      <c r="E57" s="148"/>
      <c r="F57" s="148"/>
      <c r="G57" s="148"/>
      <c r="I57" s="148"/>
    </row>
    <row r="58" spans="2:13" ht="15.75" customHeight="1" outlineLevel="1" x14ac:dyDescent="0.25">
      <c r="C58" s="130" t="s">
        <v>124</v>
      </c>
      <c r="D58" s="46" t="s">
        <v>139</v>
      </c>
      <c r="E58" s="94">
        <f>E94/E54*Units</f>
        <v>755770.35290669836</v>
      </c>
      <c r="F58" s="94">
        <f>F94/F54*Units</f>
        <v>817312.88564460957</v>
      </c>
      <c r="G58" s="94">
        <f>G94/G54*Units</f>
        <v>866825.78658470279</v>
      </c>
      <c r="H58" s="94">
        <f>H94/H54*Units</f>
        <v>906971.12124124996</v>
      </c>
      <c r="I58" s="94">
        <f>H58*(1+I59)</f>
        <v>943249.96609090001</v>
      </c>
      <c r="J58" s="94">
        <f t="shared" ref="J58:M58" si="5">I58*(1+J59)</f>
        <v>990412.46439544507</v>
      </c>
      <c r="K58" s="94">
        <f t="shared" si="5"/>
        <v>1049837.2122591718</v>
      </c>
      <c r="L58" s="94">
        <f t="shared" si="5"/>
        <v>1091830.7007495386</v>
      </c>
      <c r="M58" s="94">
        <f t="shared" si="5"/>
        <v>1124585.6217720248</v>
      </c>
    </row>
    <row r="59" spans="2:13" ht="15.75" customHeight="1" outlineLevel="1" x14ac:dyDescent="0.25">
      <c r="C59" s="133" t="s">
        <v>69</v>
      </c>
      <c r="D59" s="46" t="s">
        <v>30</v>
      </c>
      <c r="E59" s="115"/>
      <c r="F59" s="115">
        <f>F58/E58-1</f>
        <v>8.1430202311083333E-2</v>
      </c>
      <c r="G59" s="115">
        <f t="shared" ref="G59:H59" si="6">G58/F58-1</f>
        <v>6.0580105623861069E-2</v>
      </c>
      <c r="H59" s="115">
        <f t="shared" si="6"/>
        <v>4.6313036919125361E-2</v>
      </c>
      <c r="I59" s="80">
        <v>0.04</v>
      </c>
      <c r="J59" s="80">
        <v>0.05</v>
      </c>
      <c r="K59" s="80">
        <v>0.06</v>
      </c>
      <c r="L59" s="80">
        <v>0.04</v>
      </c>
      <c r="M59" s="80">
        <v>0.03</v>
      </c>
    </row>
    <row r="60" spans="2:13" ht="15.75" customHeight="1" outlineLevel="1" x14ac:dyDescent="0.25">
      <c r="E60" s="148"/>
      <c r="F60" s="148"/>
      <c r="G60" s="148"/>
      <c r="I60" s="148"/>
    </row>
    <row r="61" spans="2:13" ht="15.75" customHeight="1" outlineLevel="1" x14ac:dyDescent="0.25">
      <c r="C61" s="130" t="s">
        <v>132</v>
      </c>
      <c r="D61" s="46" t="s">
        <v>133</v>
      </c>
      <c r="E61" s="100">
        <v>2865</v>
      </c>
      <c r="F61" s="101">
        <f>800+1103+382+139+416</f>
        <v>2840</v>
      </c>
      <c r="G61" s="101">
        <f>786+1086+383+137+423</f>
        <v>2815</v>
      </c>
      <c r="H61" s="100">
        <v>2797</v>
      </c>
      <c r="I61" s="101">
        <f>I54/I62</f>
        <v>2811.4825423728812</v>
      </c>
      <c r="J61" s="101">
        <f t="shared" ref="J61:M61" si="7">J54/J62</f>
        <v>2884.2427721739127</v>
      </c>
      <c r="K61" s="101">
        <f t="shared" si="7"/>
        <v>3065.5915762500003</v>
      </c>
      <c r="L61" s="101">
        <f t="shared" si="7"/>
        <v>3261.4087871781826</v>
      </c>
      <c r="M61" s="101">
        <f t="shared" si="7"/>
        <v>3437.7427626360009</v>
      </c>
    </row>
    <row r="62" spans="2:13" ht="15.75" customHeight="1" outlineLevel="1" x14ac:dyDescent="0.25">
      <c r="C62" s="130" t="s">
        <v>135</v>
      </c>
      <c r="D62" s="46" t="s">
        <v>53</v>
      </c>
      <c r="E62" s="148">
        <f>E54/E61</f>
        <v>66.696160558464229</v>
      </c>
      <c r="F62" s="148">
        <f t="shared" ref="F62:H62" si="8">F54/F61</f>
        <v>64.541197183098589</v>
      </c>
      <c r="G62" s="148">
        <f t="shared" si="8"/>
        <v>62.064298401420956</v>
      </c>
      <c r="H62" s="148">
        <f t="shared" si="8"/>
        <v>60.626027887021806</v>
      </c>
      <c r="I62" s="121">
        <v>59</v>
      </c>
      <c r="J62" s="121">
        <v>57.5</v>
      </c>
      <c r="K62" s="121">
        <v>56</v>
      </c>
      <c r="L62" s="121">
        <v>55</v>
      </c>
      <c r="M62" s="121">
        <v>54</v>
      </c>
    </row>
    <row r="63" spans="2:13" ht="15.75" customHeight="1" outlineLevel="1" x14ac:dyDescent="0.25">
      <c r="E63" s="148"/>
      <c r="F63" s="148"/>
      <c r="G63" s="148"/>
      <c r="I63" s="148"/>
    </row>
    <row r="64" spans="2:13" ht="15.75" customHeight="1" outlineLevel="1" x14ac:dyDescent="0.25">
      <c r="C64" s="130" t="s">
        <v>134</v>
      </c>
      <c r="D64" s="46" t="s">
        <v>136</v>
      </c>
      <c r="E64" s="100">
        <v>8285</v>
      </c>
      <c r="F64" s="100">
        <v>8291</v>
      </c>
      <c r="G64" s="100">
        <v>8300</v>
      </c>
      <c r="H64" s="100">
        <v>8311</v>
      </c>
      <c r="I64" s="122">
        <f>H64</f>
        <v>8311</v>
      </c>
      <c r="J64" s="122">
        <f t="shared" ref="J64:M64" si="9">I64</f>
        <v>8311</v>
      </c>
      <c r="K64" s="122">
        <f t="shared" si="9"/>
        <v>8311</v>
      </c>
      <c r="L64" s="122">
        <f t="shared" si="9"/>
        <v>8311</v>
      </c>
      <c r="M64" s="122">
        <f t="shared" si="9"/>
        <v>8311</v>
      </c>
    </row>
    <row r="65" spans="3:13" ht="15.75" customHeight="1" outlineLevel="1" x14ac:dyDescent="0.25">
      <c r="C65" s="130" t="s">
        <v>137</v>
      </c>
      <c r="D65" s="46" t="s">
        <v>138</v>
      </c>
      <c r="E65" s="148">
        <f>E95/E64</f>
        <v>13.074834037417018</v>
      </c>
      <c r="F65" s="148">
        <f t="shared" ref="F65:H65" si="10">F95/F64</f>
        <v>12.938366903871668</v>
      </c>
      <c r="G65" s="148">
        <f t="shared" si="10"/>
        <v>12.984698795180723</v>
      </c>
      <c r="H65" s="148">
        <f t="shared" si="10"/>
        <v>13.756467332450969</v>
      </c>
      <c r="I65" s="148">
        <f>H65*(1+I66)</f>
        <v>14.306726025749008</v>
      </c>
      <c r="J65" s="148">
        <f t="shared" ref="J65:M65" si="11">I65*(1+J66)</f>
        <v>14.807461436650222</v>
      </c>
      <c r="K65" s="148">
        <f t="shared" si="11"/>
        <v>15.251685279749729</v>
      </c>
      <c r="L65" s="148">
        <f t="shared" si="11"/>
        <v>15.632977411743472</v>
      </c>
      <c r="M65" s="148">
        <f t="shared" si="11"/>
        <v>15.945636959978341</v>
      </c>
    </row>
    <row r="66" spans="3:13" ht="15.75" customHeight="1" outlineLevel="1" x14ac:dyDescent="0.25">
      <c r="C66" s="133" t="s">
        <v>69</v>
      </c>
      <c r="D66" s="46" t="s">
        <v>30</v>
      </c>
      <c r="E66" s="115"/>
      <c r="F66" s="115">
        <f>F65/E65-1</f>
        <v>-1.0437389350779869E-2</v>
      </c>
      <c r="G66" s="115">
        <f t="shared" ref="G66:H66" si="12">G65/F65-1</f>
        <v>3.5809690398553862E-3</v>
      </c>
      <c r="H66" s="115">
        <f t="shared" si="12"/>
        <v>5.9436768572305176E-2</v>
      </c>
      <c r="I66" s="80">
        <v>0.04</v>
      </c>
      <c r="J66" s="80">
        <v>3.5000000000000003E-2</v>
      </c>
      <c r="K66" s="80">
        <v>0.03</v>
      </c>
      <c r="L66" s="80">
        <v>2.5000000000000001E-2</v>
      </c>
      <c r="M66" s="80">
        <v>0.02</v>
      </c>
    </row>
    <row r="67" spans="3:13" ht="15.75" customHeight="1" outlineLevel="1" x14ac:dyDescent="0.25">
      <c r="E67" s="148"/>
      <c r="F67" s="148"/>
      <c r="G67" s="148"/>
      <c r="I67" s="148"/>
    </row>
    <row r="68" spans="3:13" ht="15.75" customHeight="1" outlineLevel="1" x14ac:dyDescent="0.25">
      <c r="C68" s="130" t="s">
        <v>140</v>
      </c>
      <c r="D68" s="46" t="s">
        <v>30</v>
      </c>
      <c r="E68" s="115">
        <f>E96/(4062+13003+3433+1604+943)-1</f>
        <v>9.9370796268170913E-2</v>
      </c>
      <c r="F68" s="115">
        <f>F96/E96-1</f>
        <v>0.13337280442076072</v>
      </c>
      <c r="G68" s="115">
        <f t="shared" ref="G68:H68" si="13">G96/F96-1</f>
        <v>4.6353695061644107E-2</v>
      </c>
      <c r="H68" s="115">
        <f t="shared" si="13"/>
        <v>1.750707272424612E-2</v>
      </c>
      <c r="I68" s="80">
        <v>0.05</v>
      </c>
      <c r="J68" s="80">
        <v>4.4999999999999998E-2</v>
      </c>
      <c r="K68" s="80">
        <v>0.04</v>
      </c>
      <c r="L68" s="80">
        <v>3.5000000000000003E-2</v>
      </c>
      <c r="M68" s="80">
        <v>0.03</v>
      </c>
    </row>
    <row r="69" spans="3:13" ht="15.75" customHeight="1" outlineLevel="1" x14ac:dyDescent="0.25">
      <c r="C69" s="130" t="s">
        <v>141</v>
      </c>
      <c r="D69" s="46" t="s">
        <v>30</v>
      </c>
      <c r="E69" s="115">
        <f>-E97/SUM(E94:E96)</f>
        <v>5.0957292251039288E-3</v>
      </c>
      <c r="F69" s="115">
        <f>-F97/SUM(F94:F96)</f>
        <v>7.1029436977994862E-3</v>
      </c>
      <c r="G69" s="115">
        <f t="shared" ref="G69:H69" si="14">-G97/SUM(G94:G96)</f>
        <v>4.7707614550131019E-3</v>
      </c>
      <c r="H69" s="115">
        <f t="shared" si="14"/>
        <v>2.4506439636153023E-3</v>
      </c>
      <c r="I69" s="123">
        <f>AVERAGE(E69:H69)</f>
        <v>4.8550195853829543E-3</v>
      </c>
      <c r="J69" s="123">
        <f>I69</f>
        <v>4.8550195853829543E-3</v>
      </c>
      <c r="K69" s="123">
        <f t="shared" ref="K69:M69" si="15">J69</f>
        <v>4.8550195853829543E-3</v>
      </c>
      <c r="L69" s="123">
        <f t="shared" si="15"/>
        <v>4.8550195853829543E-3</v>
      </c>
      <c r="M69" s="123">
        <f t="shared" si="15"/>
        <v>4.8550195853829543E-3</v>
      </c>
    </row>
    <row r="70" spans="3:13" ht="15.75" customHeight="1" outlineLevel="1" x14ac:dyDescent="0.25">
      <c r="F70" s="149"/>
      <c r="G70" s="149"/>
      <c r="H70" s="149"/>
    </row>
    <row r="71" spans="3:13" ht="15.75" customHeight="1" outlineLevel="1" x14ac:dyDescent="0.25">
      <c r="C71" s="130" t="s">
        <v>142</v>
      </c>
      <c r="D71" s="46" t="s">
        <v>30</v>
      </c>
      <c r="E71" s="115">
        <f>-E101/E98</f>
        <v>0.81132357523160281</v>
      </c>
      <c r="F71" s="115">
        <f>-F101/F98</f>
        <v>0.80680993914020993</v>
      </c>
      <c r="G71" s="115">
        <f t="shared" ref="G71:H71" si="16">-G101/G98</f>
        <v>0.79988659589693001</v>
      </c>
      <c r="H71" s="115">
        <f t="shared" si="16"/>
        <v>0.80138449817931634</v>
      </c>
      <c r="I71" s="80">
        <v>0.81499999999999995</v>
      </c>
      <c r="J71" s="80">
        <v>0.81</v>
      </c>
      <c r="K71" s="80">
        <v>0.80500000000000005</v>
      </c>
      <c r="L71" s="80">
        <v>0.8</v>
      </c>
      <c r="M71" s="80">
        <v>0.8</v>
      </c>
    </row>
    <row r="72" spans="3:13" ht="15.75" customHeight="1" outlineLevel="1" x14ac:dyDescent="0.25">
      <c r="C72" s="130" t="s">
        <v>143</v>
      </c>
      <c r="D72" s="46" t="s">
        <v>30</v>
      </c>
      <c r="E72" s="115">
        <f>-E106/E98</f>
        <v>0.14441315120780454</v>
      </c>
      <c r="F72" s="115">
        <f>-F106/F98</f>
        <v>0.13664383807842348</v>
      </c>
      <c r="G72" s="115">
        <f t="shared" ref="G72:H72" si="17">-G106/G98</f>
        <v>0.13658019605254929</v>
      </c>
      <c r="H72" s="115">
        <f t="shared" si="17"/>
        <v>0.13053354588626181</v>
      </c>
      <c r="I72" s="80">
        <v>0.13500000000000001</v>
      </c>
      <c r="J72" s="80">
        <v>0.13250000000000001</v>
      </c>
      <c r="K72" s="80">
        <v>0.13</v>
      </c>
      <c r="L72" s="80">
        <v>0.1275</v>
      </c>
      <c r="M72" s="80">
        <v>0.125</v>
      </c>
    </row>
    <row r="73" spans="3:13" ht="15.75" customHeight="1" outlineLevel="1" x14ac:dyDescent="0.25">
      <c r="C73" s="130" t="s">
        <v>152</v>
      </c>
      <c r="D73" s="46" t="s">
        <v>30</v>
      </c>
      <c r="E73" s="115">
        <f>E116/E98</f>
        <v>3.9623435348208787E-3</v>
      </c>
      <c r="F73" s="115">
        <f>F116/F98</f>
        <v>-9.724809438731802E-4</v>
      </c>
      <c r="G73" s="115">
        <f t="shared" ref="G73:H73" si="18">G116/G98</f>
        <v>-3.7447808477084365E-3</v>
      </c>
      <c r="H73" s="115">
        <f t="shared" si="18"/>
        <v>-2.2916517040592016E-3</v>
      </c>
      <c r="I73" s="123">
        <f>AVERAGE(E73:H73)</f>
        <v>-7.6164249020498488E-4</v>
      </c>
      <c r="J73" s="123">
        <f>I73</f>
        <v>-7.6164249020498488E-4</v>
      </c>
      <c r="K73" s="123">
        <f t="shared" ref="K73:M73" si="19">J73</f>
        <v>-7.6164249020498488E-4</v>
      </c>
      <c r="L73" s="123">
        <f t="shared" si="19"/>
        <v>-7.6164249020498488E-4</v>
      </c>
      <c r="M73" s="123">
        <f t="shared" si="19"/>
        <v>-7.6164249020498488E-4</v>
      </c>
    </row>
    <row r="74" spans="3:13" ht="15.75" customHeight="1" outlineLevel="1" x14ac:dyDescent="0.25">
      <c r="F74" s="149"/>
      <c r="G74" s="149"/>
    </row>
    <row r="75" spans="3:13" ht="15.75" customHeight="1" outlineLevel="1" x14ac:dyDescent="0.25">
      <c r="C75" s="130" t="s">
        <v>147</v>
      </c>
      <c r="D75" s="46" t="s">
        <v>144</v>
      </c>
      <c r="E75" s="150">
        <f>-E125/E61</f>
        <v>1.4450237347294941</v>
      </c>
      <c r="F75" s="150">
        <f t="shared" ref="F75:H75" si="20">-F125/F61</f>
        <v>1.3252119718309858</v>
      </c>
      <c r="G75" s="150">
        <f t="shared" si="20"/>
        <v>1.2277602131438721</v>
      </c>
      <c r="H75" s="150">
        <f t="shared" si="20"/>
        <v>1.4454544154451197</v>
      </c>
      <c r="I75" s="121">
        <v>3</v>
      </c>
      <c r="J75" s="121">
        <v>2.5</v>
      </c>
      <c r="K75" s="121">
        <v>1.6</v>
      </c>
      <c r="L75" s="121">
        <v>1.7</v>
      </c>
      <c r="M75" s="121">
        <v>1.8</v>
      </c>
    </row>
    <row r="76" spans="3:13" ht="15.75" customHeight="1" outlineLevel="1" x14ac:dyDescent="0.25">
      <c r="C76" s="20" t="s">
        <v>69</v>
      </c>
      <c r="D76" s="44" t="s">
        <v>30</v>
      </c>
      <c r="F76" s="171">
        <f>F75/E75-1</f>
        <v>-8.2913352922148964E-2</v>
      </c>
      <c r="G76" s="171">
        <f t="shared" ref="G76" si="21">G75/F75-1</f>
        <v>-7.3536732808464622E-2</v>
      </c>
      <c r="H76" s="171">
        <f t="shared" ref="H76" si="22">H75/G75-1</f>
        <v>0.17731003169080339</v>
      </c>
      <c r="I76" s="171">
        <f t="shared" ref="I76" si="23">I75/H75-1</f>
        <v>1.0754718847886786</v>
      </c>
      <c r="J76" s="171">
        <f t="shared" ref="J76" si="24">J75/I75-1</f>
        <v>-0.16666666666666663</v>
      </c>
      <c r="K76" s="171">
        <f t="shared" ref="K76" si="25">K75/J75-1</f>
        <v>-0.36</v>
      </c>
      <c r="L76" s="171">
        <f t="shared" ref="L76" si="26">L75/K75-1</f>
        <v>6.25E-2</v>
      </c>
      <c r="M76" s="171">
        <f t="shared" ref="M76" si="27">M75/L75-1</f>
        <v>5.8823529411764719E-2</v>
      </c>
    </row>
    <row r="77" spans="3:13" ht="15.75" customHeight="1" outlineLevel="1" x14ac:dyDescent="0.25">
      <c r="C77" s="20" t="s">
        <v>35</v>
      </c>
      <c r="D77" s="44" t="s">
        <v>30</v>
      </c>
      <c r="E77" s="66">
        <f>-E125/E98</f>
        <v>1.4964244792325571E-2</v>
      </c>
      <c r="F77" s="66">
        <f t="shared" ref="F77:H77" si="28">-F125/F98</f>
        <v>1.3263000983201004E-2</v>
      </c>
      <c r="G77" s="66">
        <f t="shared" si="28"/>
        <v>1.2005422360550503E-2</v>
      </c>
      <c r="H77" s="66">
        <f t="shared" si="28"/>
        <v>1.3568492943802123E-2</v>
      </c>
      <c r="I77" s="66">
        <f>-I125/I98</f>
        <v>2.7565904532321897E-2</v>
      </c>
      <c r="J77" s="66">
        <f t="shared" ref="J77:M77" si="29">-J125/J98</f>
        <v>2.2582194388509457E-2</v>
      </c>
      <c r="K77" s="66">
        <f t="shared" si="29"/>
        <v>1.4417340904098701E-2</v>
      </c>
      <c r="L77" s="66">
        <f t="shared" si="29"/>
        <v>1.5395735636885623E-2</v>
      </c>
      <c r="M77" s="66">
        <f t="shared" si="29"/>
        <v>1.6429200709714882E-2</v>
      </c>
    </row>
    <row r="78" spans="3:13" ht="15.75" customHeight="1" outlineLevel="1" x14ac:dyDescent="0.25"/>
    <row r="79" spans="3:13" ht="15.75" customHeight="1" outlineLevel="1" x14ac:dyDescent="0.25">
      <c r="C79" s="130" t="s">
        <v>148</v>
      </c>
      <c r="D79" s="46" t="s">
        <v>144</v>
      </c>
      <c r="E79" s="150">
        <f>-E107/E61</f>
        <v>2.0579347294938919</v>
      </c>
      <c r="F79" s="150">
        <f t="shared" ref="F79:H79" si="30">-F107/F61</f>
        <v>2.1893707746478874</v>
      </c>
      <c r="G79" s="150">
        <f t="shared" si="30"/>
        <v>2.2642149200710477</v>
      </c>
      <c r="H79" s="150">
        <f t="shared" si="30"/>
        <v>2.2983303539506612</v>
      </c>
      <c r="I79" s="121">
        <v>2.5</v>
      </c>
      <c r="J79" s="121">
        <v>2.7</v>
      </c>
      <c r="K79" s="121">
        <v>2.5</v>
      </c>
      <c r="L79" s="121">
        <v>2.2999999999999998</v>
      </c>
      <c r="M79" s="121">
        <v>2.1</v>
      </c>
    </row>
    <row r="80" spans="3:13" ht="15.75" customHeight="1" outlineLevel="1" x14ac:dyDescent="0.25">
      <c r="C80" s="20" t="s">
        <v>69</v>
      </c>
      <c r="D80" s="44" t="s">
        <v>30</v>
      </c>
      <c r="F80" s="171">
        <f>F79/E79-1</f>
        <v>6.3867936757313837E-2</v>
      </c>
      <c r="G80" s="171">
        <f t="shared" ref="G80" si="31">G79/F79-1</f>
        <v>3.4185230884520745E-2</v>
      </c>
      <c r="H80" s="171">
        <f t="shared" ref="H80" si="32">H79/G79-1</f>
        <v>1.5067224218513253E-2</v>
      </c>
      <c r="I80" s="171">
        <f>I79/H79-1</f>
        <v>8.7746152637580455E-2</v>
      </c>
      <c r="J80" s="171">
        <f t="shared" ref="J80:M80" si="33">J79/I79-1</f>
        <v>8.0000000000000071E-2</v>
      </c>
      <c r="K80" s="171">
        <f t="shared" si="33"/>
        <v>-7.4074074074074181E-2</v>
      </c>
      <c r="L80" s="171">
        <f t="shared" si="33"/>
        <v>-8.0000000000000071E-2</v>
      </c>
      <c r="M80" s="171">
        <f t="shared" si="33"/>
        <v>-8.6956521739130377E-2</v>
      </c>
    </row>
    <row r="81" spans="2:13" ht="15.75" customHeight="1" outlineLevel="1" x14ac:dyDescent="0.25">
      <c r="C81" s="20" t="s">
        <v>149</v>
      </c>
      <c r="D81" s="44" t="s">
        <v>30</v>
      </c>
      <c r="E81" s="66">
        <f>-E107/E98</f>
        <v>2.1311372483815816E-2</v>
      </c>
      <c r="F81" s="66">
        <f t="shared" ref="F81:H81" si="34">-F107/F98</f>
        <v>2.191168458629791E-2</v>
      </c>
      <c r="G81" s="66">
        <f t="shared" si="34"/>
        <v>2.2140199804086394E-2</v>
      </c>
      <c r="H81" s="66">
        <f t="shared" si="34"/>
        <v>2.1574446663198694E-2</v>
      </c>
      <c r="I81" s="66">
        <f>-I107/I98</f>
        <v>2.2971587110268248E-2</v>
      </c>
      <c r="J81" s="66">
        <f t="shared" ref="J81:M81" si="35">-J107/J98</f>
        <v>2.4388769939590216E-2</v>
      </c>
      <c r="K81" s="66">
        <f t="shared" si="35"/>
        <v>2.252709516265422E-2</v>
      </c>
      <c r="L81" s="66">
        <f t="shared" si="35"/>
        <v>2.0829524685198192E-2</v>
      </c>
      <c r="M81" s="66">
        <f t="shared" si="35"/>
        <v>1.9167400828000693E-2</v>
      </c>
    </row>
    <row r="82" spans="2:13" ht="15.75" customHeight="1" outlineLevel="1" x14ac:dyDescent="0.25"/>
    <row r="83" spans="2:13" ht="15.75" customHeight="1" outlineLevel="1" x14ac:dyDescent="0.25">
      <c r="C83" s="169" t="s">
        <v>179</v>
      </c>
      <c r="D83" s="46" t="s">
        <v>129</v>
      </c>
      <c r="E83" s="144"/>
      <c r="F83" s="144"/>
      <c r="G83" s="144"/>
      <c r="H83" s="144">
        <f>L26</f>
        <v>73088.090304750003</v>
      </c>
      <c r="I83" s="144">
        <f>H83+I84</f>
        <v>65779.28127427501</v>
      </c>
      <c r="J83" s="144">
        <f t="shared" ref="J83:M83" si="36">I83+J84</f>
        <v>58470.47224380001</v>
      </c>
      <c r="K83" s="144">
        <f t="shared" si="36"/>
        <v>51161.66321332501</v>
      </c>
      <c r="L83" s="144">
        <f t="shared" si="36"/>
        <v>43852.854182850009</v>
      </c>
      <c r="M83" s="144">
        <f t="shared" si="36"/>
        <v>36544.045152375009</v>
      </c>
    </row>
    <row r="84" spans="2:13" ht="15.75" customHeight="1" outlineLevel="1" x14ac:dyDescent="0.25">
      <c r="C84" s="169" t="s">
        <v>180</v>
      </c>
      <c r="D84" s="46" t="s">
        <v>129</v>
      </c>
      <c r="E84" s="144"/>
      <c r="F84" s="144"/>
      <c r="G84" s="144"/>
      <c r="H84" s="144"/>
      <c r="I84" s="144">
        <f>-MIN(H83,$L$26/$L$28)</f>
        <v>-7308.8090304750003</v>
      </c>
      <c r="J84" s="144">
        <f t="shared" ref="J84:M84" si="37">-MIN(I83,$L$26/$L$28)</f>
        <v>-7308.8090304750003</v>
      </c>
      <c r="K84" s="144">
        <f t="shared" si="37"/>
        <v>-7308.8090304750003</v>
      </c>
      <c r="L84" s="144">
        <f t="shared" si="37"/>
        <v>-7308.8090304750003</v>
      </c>
      <c r="M84" s="144">
        <f t="shared" si="37"/>
        <v>-7308.8090304750003</v>
      </c>
    </row>
    <row r="85" spans="2:13" ht="15.75" customHeight="1" outlineLevel="1" x14ac:dyDescent="0.25"/>
    <row r="86" spans="2:13" ht="15.75" customHeight="1" outlineLevel="1" x14ac:dyDescent="0.25">
      <c r="C86" s="130" t="s">
        <v>151</v>
      </c>
      <c r="D86" s="46" t="s">
        <v>129</v>
      </c>
      <c r="E86" s="94">
        <f>221-101-302+1079</f>
        <v>897</v>
      </c>
      <c r="F86" s="94">
        <f>-242+205+2621+2863</f>
        <v>5447</v>
      </c>
      <c r="G86" s="94">
        <f>-405+548-107+3339</f>
        <v>3375</v>
      </c>
      <c r="H86" s="94">
        <f>-586-32-907-622</f>
        <v>-2147</v>
      </c>
      <c r="I86" s="94">
        <f>I98*I87</f>
        <v>2061.9270848040355</v>
      </c>
      <c r="J86" s="94">
        <f t="shared" ref="J86:M86" si="38">J98*J87</f>
        <v>2151.7637430823625</v>
      </c>
      <c r="K86" s="94">
        <f t="shared" si="38"/>
        <v>2292.6513445952023</v>
      </c>
      <c r="L86" s="94">
        <f t="shared" si="38"/>
        <v>2426.8482367741017</v>
      </c>
      <c r="M86" s="94">
        <f t="shared" si="38"/>
        <v>2538.1562361924775</v>
      </c>
    </row>
    <row r="87" spans="2:13" ht="15.75" customHeight="1" outlineLevel="1" x14ac:dyDescent="0.25">
      <c r="C87" s="172" t="s">
        <v>192</v>
      </c>
      <c r="D87" s="44" t="s">
        <v>30</v>
      </c>
      <c r="E87" s="115">
        <f>E86/E98</f>
        <v>3.2422585204168308E-3</v>
      </c>
      <c r="F87" s="115">
        <f>F86/F98</f>
        <v>1.9195325742598676E-2</v>
      </c>
      <c r="G87" s="115">
        <f t="shared" ref="G87:H87" si="39">G86/G98</f>
        <v>1.1723553400351533E-2</v>
      </c>
      <c r="H87" s="115">
        <f t="shared" si="39"/>
        <v>-7.2055442753343512E-3</v>
      </c>
      <c r="I87" s="123">
        <f>AVERAGE(E87:H87)</f>
        <v>6.7388983470081732E-3</v>
      </c>
      <c r="J87" s="123">
        <f>I87</f>
        <v>6.7388983470081732E-3</v>
      </c>
      <c r="K87" s="123">
        <f t="shared" ref="K87:M87" si="40">J87</f>
        <v>6.7388983470081732E-3</v>
      </c>
      <c r="L87" s="123">
        <f t="shared" si="40"/>
        <v>6.7388983470081732E-3</v>
      </c>
      <c r="M87" s="123">
        <f t="shared" si="40"/>
        <v>6.7388983470081732E-3</v>
      </c>
    </row>
    <row r="88" spans="2:13" ht="15.75" customHeight="1" outlineLevel="1" x14ac:dyDescent="0.25">
      <c r="H88" s="168"/>
    </row>
    <row r="89" spans="2:13" ht="15.75" customHeight="1" outlineLevel="1" x14ac:dyDescent="0.25">
      <c r="C89" s="130" t="s">
        <v>155</v>
      </c>
      <c r="D89" s="44" t="s">
        <v>30</v>
      </c>
      <c r="E89" s="115">
        <f>-E128/(E119-E108)</f>
        <v>0.25450354470889486</v>
      </c>
      <c r="F89" s="115">
        <f t="shared" ref="F89:H89" si="41">-F128/(F119-F108)</f>
        <v>0.30227131158688486</v>
      </c>
      <c r="G89" s="115">
        <f t="shared" si="41"/>
        <v>0.48223970710954217</v>
      </c>
      <c r="H89" s="115">
        <f t="shared" si="41"/>
        <v>0.24389131330203484</v>
      </c>
      <c r="I89" s="123">
        <f>AVERAGE(E89:H89)</f>
        <v>0.32072646917683917</v>
      </c>
      <c r="J89" s="123">
        <f>I89</f>
        <v>0.32072646917683917</v>
      </c>
      <c r="K89" s="123">
        <f t="shared" ref="K89:M89" si="42">J89</f>
        <v>0.32072646917683917</v>
      </c>
      <c r="L89" s="123">
        <f t="shared" si="42"/>
        <v>0.32072646917683917</v>
      </c>
      <c r="M89" s="123">
        <f t="shared" si="42"/>
        <v>0.32072646917683917</v>
      </c>
    </row>
    <row r="90" spans="2:13" ht="15.75" customHeight="1" x14ac:dyDescent="0.25">
      <c r="E90" s="115"/>
      <c r="F90" s="115"/>
      <c r="G90" s="115"/>
      <c r="H90" s="115"/>
    </row>
    <row r="91" spans="2:13" ht="15.75" customHeight="1" x14ac:dyDescent="0.25">
      <c r="B91" s="12"/>
      <c r="C91" s="13"/>
      <c r="D91" s="14"/>
      <c r="E91" s="15" t="s">
        <v>3</v>
      </c>
      <c r="F91" s="15"/>
      <c r="G91" s="16"/>
      <c r="H91" s="16"/>
      <c r="I91" s="17" t="s">
        <v>4</v>
      </c>
      <c r="J91" s="18"/>
      <c r="K91" s="16"/>
      <c r="L91" s="16"/>
      <c r="M91" s="16"/>
    </row>
    <row r="92" spans="2:13" ht="15.75" customHeight="1" x14ac:dyDescent="0.25">
      <c r="B92" s="31" t="s">
        <v>61</v>
      </c>
      <c r="C92" s="19"/>
      <c r="D92" s="34" t="str">
        <f>$D$5</f>
        <v>Units:</v>
      </c>
      <c r="E92" s="1">
        <f>EOMONTH(F92,-12)</f>
        <v>42825</v>
      </c>
      <c r="F92" s="1">
        <f>EOMONTH(G92,-12)</f>
        <v>43190</v>
      </c>
      <c r="G92" s="1">
        <f>EOMONTH(H92,-12)</f>
        <v>43555</v>
      </c>
      <c r="H92" s="2">
        <f>Hist_Year</f>
        <v>43921</v>
      </c>
      <c r="I92" s="61">
        <f>EOMONTH(H92,12)</f>
        <v>44286</v>
      </c>
      <c r="J92" s="1">
        <f t="shared" ref="J92:M92" si="43">EOMONTH(I92,12)</f>
        <v>44651</v>
      </c>
      <c r="K92" s="1">
        <f t="shared" si="43"/>
        <v>45016</v>
      </c>
      <c r="L92" s="1">
        <f t="shared" si="43"/>
        <v>45382</v>
      </c>
      <c r="M92" s="1">
        <f t="shared" si="43"/>
        <v>45747</v>
      </c>
    </row>
    <row r="93" spans="2:13" ht="15.75" customHeight="1" outlineLevel="1" x14ac:dyDescent="0.25">
      <c r="H93" s="151"/>
    </row>
    <row r="94" spans="2:13" ht="15.75" customHeight="1" outlineLevel="1" x14ac:dyDescent="0.25">
      <c r="C94" s="172" t="s">
        <v>181</v>
      </c>
      <c r="D94" s="46" t="s">
        <v>129</v>
      </c>
      <c r="E94" s="91">
        <v>144416</v>
      </c>
      <c r="F94" s="91">
        <v>149811</v>
      </c>
      <c r="G94" s="91">
        <v>151444</v>
      </c>
      <c r="H94" s="91">
        <v>153796</v>
      </c>
      <c r="I94" s="92">
        <f>I54*I58/Units</f>
        <v>156463.91795274429</v>
      </c>
      <c r="J94" s="92">
        <f>J54*J58/Units</f>
        <v>164253.92453445212</v>
      </c>
      <c r="K94" s="92">
        <f>K54*K58/Units</f>
        <v>180228.83840278804</v>
      </c>
      <c r="L94" s="92">
        <f>L54*L58/Units</f>
        <v>195849.84328445021</v>
      </c>
      <c r="M94" s="92">
        <f>M54*M58/Units</f>
        <v>208765.9484394094</v>
      </c>
    </row>
    <row r="95" spans="2:13" ht="15.75" customHeight="1" outlineLevel="1" x14ac:dyDescent="0.25">
      <c r="C95" s="172" t="s">
        <v>182</v>
      </c>
      <c r="D95" s="46" t="s">
        <v>129</v>
      </c>
      <c r="E95" s="93">
        <v>108325</v>
      </c>
      <c r="F95" s="93">
        <v>107272</v>
      </c>
      <c r="G95" s="93">
        <v>107773</v>
      </c>
      <c r="H95" s="93">
        <v>114330</v>
      </c>
      <c r="I95" s="94">
        <f>I64*I65</f>
        <v>118903.2</v>
      </c>
      <c r="J95" s="94">
        <f t="shared" ref="J95:M95" si="44">J64*J65</f>
        <v>123064.81199999999</v>
      </c>
      <c r="K95" s="94">
        <f t="shared" si="44"/>
        <v>126756.75636</v>
      </c>
      <c r="L95" s="94">
        <f t="shared" si="44"/>
        <v>129925.675269</v>
      </c>
      <c r="M95" s="94">
        <f t="shared" si="44"/>
        <v>132524.18877437999</v>
      </c>
    </row>
    <row r="96" spans="2:13" ht="15.75" customHeight="1" outlineLevel="1" x14ac:dyDescent="0.25">
      <c r="C96" s="172" t="s">
        <v>183</v>
      </c>
      <c r="D96" s="46" t="s">
        <v>129</v>
      </c>
      <c r="E96" s="93">
        <v>25335</v>
      </c>
      <c r="F96" s="93">
        <v>28713.999999999971</v>
      </c>
      <c r="G96" s="93">
        <v>30045.000000000018</v>
      </c>
      <c r="H96" s="93">
        <v>30570.999999999996</v>
      </c>
      <c r="I96" s="94">
        <f>H96*(1+I68)</f>
        <v>32099.55</v>
      </c>
      <c r="J96" s="94">
        <f t="shared" ref="J96:M96" si="45">I96*(1+J68)</f>
        <v>33544.029749999994</v>
      </c>
      <c r="K96" s="94">
        <f t="shared" si="45"/>
        <v>34885.790939999992</v>
      </c>
      <c r="L96" s="94">
        <f t="shared" si="45"/>
        <v>36106.79362289999</v>
      </c>
      <c r="M96" s="94">
        <f t="shared" si="45"/>
        <v>37189.997431586991</v>
      </c>
    </row>
    <row r="97" spans="3:13" ht="15.75" customHeight="1" outlineLevel="1" x14ac:dyDescent="0.25">
      <c r="C97" s="172" t="s">
        <v>184</v>
      </c>
      <c r="D97" s="43" t="s">
        <v>129</v>
      </c>
      <c r="E97" s="93">
        <v>-1417</v>
      </c>
      <c r="F97" s="93">
        <v>-2029.9999999999998</v>
      </c>
      <c r="G97" s="93">
        <v>-1380</v>
      </c>
      <c r="H97" s="93">
        <v>-732</v>
      </c>
      <c r="I97" s="94">
        <f>-SUM(I94:I96)*I69</f>
        <v>-1492.756694763011</v>
      </c>
      <c r="J97" s="94">
        <f t="shared" ref="J97:M97" si="46">-SUM(J94:J96)*J69</f>
        <v>-1557.7950145311684</v>
      </c>
      <c r="K97" s="94">
        <f t="shared" si="46"/>
        <v>-1659.7922732690458</v>
      </c>
      <c r="L97" s="94">
        <f t="shared" si="46"/>
        <v>-1756.9457132198486</v>
      </c>
      <c r="M97" s="94">
        <f t="shared" si="46"/>
        <v>-1837.5284663816799</v>
      </c>
    </row>
    <row r="98" spans="3:13" ht="15.75" customHeight="1" outlineLevel="1" x14ac:dyDescent="0.25">
      <c r="C98" s="32" t="s">
        <v>118</v>
      </c>
      <c r="D98" s="46" t="s">
        <v>129</v>
      </c>
      <c r="E98" s="95">
        <f>SUM(E94:E97)</f>
        <v>276659</v>
      </c>
      <c r="F98" s="95">
        <v>283767.00000000006</v>
      </c>
      <c r="G98" s="95">
        <v>287882</v>
      </c>
      <c r="H98" s="95">
        <v>297965</v>
      </c>
      <c r="I98" s="95">
        <f>SUM(I94:I97)</f>
        <v>305973.91125798126</v>
      </c>
      <c r="J98" s="95">
        <f t="shared" ref="J98:M98" si="47">SUM(J94:J97)</f>
        <v>319304.97126992093</v>
      </c>
      <c r="K98" s="95">
        <f t="shared" si="47"/>
        <v>340211.59342951898</v>
      </c>
      <c r="L98" s="95">
        <f t="shared" si="47"/>
        <v>360125.36646313034</v>
      </c>
      <c r="M98" s="95">
        <f t="shared" si="47"/>
        <v>376642.6061789947</v>
      </c>
    </row>
    <row r="99" spans="3:13" ht="15.75" customHeight="1" outlineLevel="1" x14ac:dyDescent="0.25">
      <c r="C99" s="20" t="s">
        <v>119</v>
      </c>
      <c r="D99" s="44" t="s">
        <v>30</v>
      </c>
      <c r="E99" s="66"/>
      <c r="F99" s="66">
        <f>F98/E98-1</f>
        <v>2.5692278219758169E-2</v>
      </c>
      <c r="G99" s="66">
        <f>G98/F98-1</f>
        <v>1.4501333840791775E-2</v>
      </c>
      <c r="H99" s="66">
        <f>H98/G98-1</f>
        <v>3.5024767092072473E-2</v>
      </c>
      <c r="I99" s="66">
        <f>I98/H98-1</f>
        <v>2.6878698028228953E-2</v>
      </c>
      <c r="J99" s="66">
        <f t="shared" ref="J99:M99" si="48">J98/I98-1</f>
        <v>4.3569270194083964E-2</v>
      </c>
      <c r="K99" s="66">
        <f t="shared" si="48"/>
        <v>6.5475404521418756E-2</v>
      </c>
      <c r="L99" s="66">
        <f t="shared" si="48"/>
        <v>5.8533493326519581E-2</v>
      </c>
      <c r="M99" s="66">
        <f t="shared" si="48"/>
        <v>4.5865249310493628E-2</v>
      </c>
    </row>
    <row r="100" spans="3:13" ht="15.75" customHeight="1" outlineLevel="1" x14ac:dyDescent="0.25">
      <c r="H100" s="139"/>
      <c r="I100" s="152"/>
    </row>
    <row r="101" spans="3:13" ht="15.75" customHeight="1" outlineLevel="1" x14ac:dyDescent="0.25">
      <c r="C101" s="173" t="s">
        <v>185</v>
      </c>
      <c r="D101" s="42" t="s">
        <v>129</v>
      </c>
      <c r="E101" s="93">
        <v>-224459.96900000001</v>
      </c>
      <c r="F101" s="93">
        <v>-228946.03599999999</v>
      </c>
      <c r="G101" s="93">
        <v>-230272.95300000001</v>
      </c>
      <c r="H101" s="93">
        <v>-238784.53200000001</v>
      </c>
      <c r="I101" s="94">
        <f>-I98*I71</f>
        <v>-249368.73767525473</v>
      </c>
      <c r="J101" s="94">
        <f t="shared" ref="J101:M101" si="49">-J98*J71</f>
        <v>-258637.02672863597</v>
      </c>
      <c r="K101" s="94">
        <f t="shared" si="49"/>
        <v>-273870.3327107628</v>
      </c>
      <c r="L101" s="94">
        <f t="shared" si="49"/>
        <v>-288100.29317050427</v>
      </c>
      <c r="M101" s="94">
        <f t="shared" si="49"/>
        <v>-301314.08494319575</v>
      </c>
    </row>
    <row r="102" spans="3:13" ht="15.75" customHeight="1" outlineLevel="1" x14ac:dyDescent="0.25">
      <c r="C102" s="138"/>
      <c r="D102" s="42"/>
      <c r="E102" s="93"/>
      <c r="F102" s="93"/>
      <c r="G102" s="93"/>
      <c r="H102" s="93"/>
      <c r="I102" s="139"/>
      <c r="J102" s="139"/>
      <c r="K102" s="139"/>
      <c r="L102" s="139"/>
      <c r="M102" s="139"/>
    </row>
    <row r="103" spans="3:13" ht="15.75" customHeight="1" outlineLevel="1" x14ac:dyDescent="0.25">
      <c r="C103" s="3" t="s">
        <v>120</v>
      </c>
      <c r="D103" s="46" t="s">
        <v>129</v>
      </c>
      <c r="E103" s="96">
        <f>E98+E101</f>
        <v>52199.030999999988</v>
      </c>
      <c r="F103" s="96">
        <f>F98+F101</f>
        <v>54820.964000000065</v>
      </c>
      <c r="G103" s="96">
        <f t="shared" ref="G103:H103" si="50">G98+G101</f>
        <v>57609.046999999991</v>
      </c>
      <c r="H103" s="96">
        <f t="shared" si="50"/>
        <v>59180.467999999993</v>
      </c>
      <c r="I103" s="96">
        <f>I98+I101</f>
        <v>56605.173582726537</v>
      </c>
      <c r="J103" s="96">
        <f t="shared" ref="J103:M103" si="51">J98+J101</f>
        <v>60667.94454128496</v>
      </c>
      <c r="K103" s="96">
        <f t="shared" si="51"/>
        <v>66341.260718756181</v>
      </c>
      <c r="L103" s="96">
        <f t="shared" si="51"/>
        <v>72025.073292626068</v>
      </c>
      <c r="M103" s="96">
        <f t="shared" si="51"/>
        <v>75328.521235798951</v>
      </c>
    </row>
    <row r="104" spans="3:13" ht="15.75" customHeight="1" outlineLevel="1" x14ac:dyDescent="0.25">
      <c r="C104" s="20" t="s">
        <v>121</v>
      </c>
      <c r="D104" s="44" t="s">
        <v>30</v>
      </c>
      <c r="E104" s="66">
        <f>E103/E98</f>
        <v>0.18867642476839716</v>
      </c>
      <c r="F104" s="66">
        <f>F103/F98</f>
        <v>0.1931900608597901</v>
      </c>
      <c r="G104" s="66">
        <f t="shared" ref="G104:H104" si="52">G103/G98</f>
        <v>0.20011340410306999</v>
      </c>
      <c r="H104" s="66">
        <f t="shared" si="52"/>
        <v>0.1986155018206836</v>
      </c>
      <c r="I104" s="66">
        <f>I103/I98</f>
        <v>0.185</v>
      </c>
      <c r="J104" s="66">
        <f t="shared" ref="J104:M104" si="53">J103/J98</f>
        <v>0.18999999999999995</v>
      </c>
      <c r="K104" s="66">
        <f t="shared" si="53"/>
        <v>0.19499999999999995</v>
      </c>
      <c r="L104" s="66">
        <f t="shared" si="53"/>
        <v>0.2</v>
      </c>
      <c r="M104" s="66">
        <f t="shared" si="53"/>
        <v>0.20000000000000004</v>
      </c>
    </row>
    <row r="105" spans="3:13" ht="15.75" customHeight="1" outlineLevel="1" x14ac:dyDescent="0.25">
      <c r="H105" s="163"/>
    </row>
    <row r="106" spans="3:13" ht="15.75" customHeight="1" outlineLevel="1" x14ac:dyDescent="0.25">
      <c r="C106" s="172" t="s">
        <v>186</v>
      </c>
      <c r="D106" s="46" t="s">
        <v>129</v>
      </c>
      <c r="E106" s="97">
        <v>-39953.197999999997</v>
      </c>
      <c r="F106" s="97">
        <v>-38775.012000000002</v>
      </c>
      <c r="G106" s="97">
        <v>-39318.979999999996</v>
      </c>
      <c r="H106" s="98">
        <v>-38894.428</v>
      </c>
      <c r="I106" s="94">
        <f>-I98*I72</f>
        <v>-41306.478019827475</v>
      </c>
      <c r="J106" s="94">
        <f t="shared" ref="J106:M106" si="54">-J98*J72</f>
        <v>-42307.908693264522</v>
      </c>
      <c r="K106" s="94">
        <f t="shared" si="54"/>
        <v>-44227.507145837466</v>
      </c>
      <c r="L106" s="94">
        <f t="shared" si="54"/>
        <v>-45915.98422404912</v>
      </c>
      <c r="M106" s="94">
        <f t="shared" si="54"/>
        <v>-47080.325772374337</v>
      </c>
    </row>
    <row r="107" spans="3:13" ht="15.75" customHeight="1" outlineLevel="1" x14ac:dyDescent="0.25">
      <c r="C107" s="172" t="s">
        <v>188</v>
      </c>
      <c r="D107" s="46" t="s">
        <v>129</v>
      </c>
      <c r="E107" s="97">
        <v>-5895.9830000000002</v>
      </c>
      <c r="F107" s="97">
        <v>-6217.8130000000001</v>
      </c>
      <c r="G107" s="97">
        <v>-6373.7649999999994</v>
      </c>
      <c r="H107" s="98">
        <v>-6428.4299999999994</v>
      </c>
      <c r="I107" s="94">
        <f>-I79*I61</f>
        <v>-7028.7063559322032</v>
      </c>
      <c r="J107" s="94">
        <f t="shared" ref="J107:M107" si="55">-J79*J61</f>
        <v>-7787.4554848695652</v>
      </c>
      <c r="K107" s="94">
        <f t="shared" si="55"/>
        <v>-7663.9789406250011</v>
      </c>
      <c r="L107" s="94">
        <f t="shared" si="55"/>
        <v>-7501.240210509819</v>
      </c>
      <c r="M107" s="94">
        <f t="shared" si="55"/>
        <v>-7219.2598015356025</v>
      </c>
    </row>
    <row r="108" spans="3:13" ht="15.75" customHeight="1" outlineLevel="1" x14ac:dyDescent="0.25">
      <c r="C108" s="172" t="s">
        <v>187</v>
      </c>
      <c r="D108" s="43" t="s">
        <v>129</v>
      </c>
      <c r="E108" s="97">
        <v>-2144.11</v>
      </c>
      <c r="F108" s="97">
        <v>-2198.7179999999998</v>
      </c>
      <c r="G108" s="97">
        <v>-1884.316</v>
      </c>
      <c r="H108" s="98">
        <v>-1695.6180000000002</v>
      </c>
      <c r="I108" s="94">
        <f>I84</f>
        <v>-7308.8090304750003</v>
      </c>
      <c r="J108" s="94">
        <f t="shared" ref="J108:M108" si="56">J84</f>
        <v>-7308.8090304750003</v>
      </c>
      <c r="K108" s="94">
        <f t="shared" si="56"/>
        <v>-7308.8090304750003</v>
      </c>
      <c r="L108" s="94">
        <f t="shared" si="56"/>
        <v>-7308.8090304750003</v>
      </c>
      <c r="M108" s="94">
        <f t="shared" si="56"/>
        <v>-7308.8090304750003</v>
      </c>
    </row>
    <row r="109" spans="3:13" ht="15.75" customHeight="1" outlineLevel="1" x14ac:dyDescent="0.25">
      <c r="C109" s="32" t="s">
        <v>63</v>
      </c>
      <c r="D109" s="46" t="s">
        <v>129</v>
      </c>
      <c r="E109" s="99">
        <f>SUM(E106:E108)</f>
        <v>-47993.290999999997</v>
      </c>
      <c r="F109" s="99">
        <f t="shared" ref="F109" si="57">SUM(F106:F108)</f>
        <v>-47191.543000000005</v>
      </c>
      <c r="G109" s="99">
        <f>SUM(G106:G108)</f>
        <v>-47577.060999999994</v>
      </c>
      <c r="H109" s="99">
        <f>SUM(H106:H108)</f>
        <v>-47018.476000000002</v>
      </c>
      <c r="I109" s="99">
        <f>SUM(I106:I108)</f>
        <v>-55643.99340623468</v>
      </c>
      <c r="J109" s="99">
        <f t="shared" ref="J109:M109" si="58">SUM(J106:J108)</f>
        <v>-57404.173208609085</v>
      </c>
      <c r="K109" s="99">
        <f t="shared" si="58"/>
        <v>-59200.295116937465</v>
      </c>
      <c r="L109" s="99">
        <f t="shared" si="58"/>
        <v>-60726.033465033943</v>
      </c>
      <c r="M109" s="99">
        <f t="shared" si="58"/>
        <v>-61608.394604384943</v>
      </c>
    </row>
    <row r="110" spans="3:13" ht="15.75" customHeight="1" outlineLevel="1" x14ac:dyDescent="0.25">
      <c r="H110" s="139"/>
      <c r="I110" s="139"/>
      <c r="J110" s="139"/>
      <c r="K110" s="139"/>
      <c r="L110" s="139"/>
      <c r="M110" s="139"/>
    </row>
    <row r="111" spans="3:13" ht="15.75" customHeight="1" outlineLevel="1" x14ac:dyDescent="0.25">
      <c r="C111" s="3" t="s">
        <v>66</v>
      </c>
      <c r="D111" s="46" t="s">
        <v>129</v>
      </c>
      <c r="E111" s="96">
        <f t="shared" ref="E111:F111" si="59">E103+E109</f>
        <v>4205.7399999999907</v>
      </c>
      <c r="F111" s="96">
        <f t="shared" si="59"/>
        <v>7629.4210000000603</v>
      </c>
      <c r="G111" s="96">
        <f>G103+G109</f>
        <v>10031.985999999997</v>
      </c>
      <c r="H111" s="96">
        <f>H103+H109</f>
        <v>12161.991999999991</v>
      </c>
      <c r="I111" s="96">
        <f>I103+I109</f>
        <v>961.1801764918564</v>
      </c>
      <c r="J111" s="96">
        <f t="shared" ref="J111:M111" si="60">J103+J109</f>
        <v>3263.7713326758749</v>
      </c>
      <c r="K111" s="96">
        <f t="shared" si="60"/>
        <v>7140.9656018187161</v>
      </c>
      <c r="L111" s="96">
        <f t="shared" si="60"/>
        <v>11299.039827592125</v>
      </c>
      <c r="M111" s="96">
        <f t="shared" si="60"/>
        <v>13720.126631414008</v>
      </c>
    </row>
    <row r="112" spans="3:13" ht="15.75" customHeight="1" outlineLevel="1" x14ac:dyDescent="0.25">
      <c r="C112" s="20" t="s">
        <v>167</v>
      </c>
      <c r="D112" s="44" t="s">
        <v>30</v>
      </c>
      <c r="E112" s="66">
        <f>E111/E98</f>
        <v>1.5201891136742311E-2</v>
      </c>
      <c r="F112" s="66">
        <f t="shared" ref="F112:H112" si="61">F111/F98</f>
        <v>2.6886216508614669E-2</v>
      </c>
      <c r="G112" s="66">
        <f t="shared" si="61"/>
        <v>3.4847562542986356E-2</v>
      </c>
      <c r="H112" s="66">
        <f t="shared" si="61"/>
        <v>4.0816847616330747E-2</v>
      </c>
      <c r="I112" s="66">
        <f>I111/I98</f>
        <v>3.1413795135018532E-3</v>
      </c>
      <c r="J112" s="66">
        <f t="shared" ref="J112:M112" si="62">J111/J98</f>
        <v>1.0221486122484707E-2</v>
      </c>
      <c r="K112" s="66">
        <f t="shared" si="62"/>
        <v>2.0989777361299998E-2</v>
      </c>
      <c r="L112" s="66">
        <f t="shared" si="62"/>
        <v>3.1375295604867987E-2</v>
      </c>
      <c r="M112" s="66">
        <f t="shared" si="62"/>
        <v>3.642744184096286E-2</v>
      </c>
    </row>
    <row r="113" spans="2:23" ht="15.75" customHeight="1" outlineLevel="1" x14ac:dyDescent="0.25">
      <c r="E113" s="153"/>
      <c r="F113" s="153"/>
      <c r="G113" s="153"/>
      <c r="H113" s="139"/>
    </row>
    <row r="114" spans="2:23" ht="15.75" customHeight="1" outlineLevel="1" x14ac:dyDescent="0.25">
      <c r="C114" s="172" t="s">
        <v>189</v>
      </c>
      <c r="D114" s="46" t="s">
        <v>129</v>
      </c>
      <c r="E114" s="83">
        <v>-4103.5150000000003</v>
      </c>
      <c r="F114" s="83">
        <v>-4654.848</v>
      </c>
      <c r="G114" s="83">
        <v>-4916.3829999999998</v>
      </c>
      <c r="H114" s="83">
        <v>-5043.366</v>
      </c>
      <c r="I114" s="144">
        <f>I184</f>
        <v>-6491.5327999999972</v>
      </c>
      <c r="J114" s="144">
        <f t="shared" ref="J114:M114" si="63">J184</f>
        <v>-6424.2013513544243</v>
      </c>
      <c r="K114" s="144">
        <f t="shared" si="63"/>
        <v>-6234.8089729804942</v>
      </c>
      <c r="L114" s="144">
        <f t="shared" si="63"/>
        <v>-5910.7966042528142</v>
      </c>
      <c r="M114" s="144">
        <f t="shared" si="63"/>
        <v>-5562.0709997415452</v>
      </c>
    </row>
    <row r="115" spans="2:23" ht="15.75" customHeight="1" outlineLevel="1" x14ac:dyDescent="0.25">
      <c r="C115" s="172" t="s">
        <v>190</v>
      </c>
      <c r="D115" s="46" t="s">
        <v>129</v>
      </c>
      <c r="E115" s="83">
        <v>151.52799999999999</v>
      </c>
      <c r="F115" s="83">
        <v>146.80099999999999</v>
      </c>
      <c r="G115" s="83">
        <v>142.929</v>
      </c>
      <c r="H115" s="83">
        <v>137.714</v>
      </c>
      <c r="I115" s="144">
        <f>I185</f>
        <v>150</v>
      </c>
      <c r="J115" s="144">
        <f t="shared" ref="J115:M115" si="64">J185</f>
        <v>200</v>
      </c>
      <c r="K115" s="144">
        <f t="shared" si="64"/>
        <v>250</v>
      </c>
      <c r="L115" s="144">
        <f t="shared" si="64"/>
        <v>335.789266626835</v>
      </c>
      <c r="M115" s="144">
        <f t="shared" si="64"/>
        <v>447.90878654679921</v>
      </c>
    </row>
    <row r="116" spans="2:23" ht="15.75" customHeight="1" outlineLevel="1" x14ac:dyDescent="0.25">
      <c r="C116" s="172" t="s">
        <v>150</v>
      </c>
      <c r="D116" s="43" t="s">
        <v>129</v>
      </c>
      <c r="E116" s="83">
        <v>1096.2180000000094</v>
      </c>
      <c r="F116" s="83">
        <v>-275.95800000006079</v>
      </c>
      <c r="G116" s="83">
        <v>-1078.0550000000001</v>
      </c>
      <c r="H116" s="83">
        <v>-682.83199999999999</v>
      </c>
      <c r="I116" s="144">
        <f>I98*I73</f>
        <v>-233.0427317082879</v>
      </c>
      <c r="J116" s="144">
        <f t="shared" ref="J116:M116" si="65">J98*J73</f>
        <v>-243.19623345285373</v>
      </c>
      <c r="K116" s="144">
        <f t="shared" si="65"/>
        <v>-259.11960521626469</v>
      </c>
      <c r="L116" s="144">
        <f t="shared" si="65"/>
        <v>-274.28678089896135</v>
      </c>
      <c r="M116" s="144">
        <f t="shared" si="65"/>
        <v>-286.86701248746493</v>
      </c>
    </row>
    <row r="117" spans="2:23" ht="15.75" customHeight="1" outlineLevel="1" x14ac:dyDescent="0.25">
      <c r="C117" s="32" t="s">
        <v>91</v>
      </c>
      <c r="D117" s="46" t="s">
        <v>129</v>
      </c>
      <c r="E117" s="95">
        <f>SUM(E114:E116)</f>
        <v>-2855.7689999999911</v>
      </c>
      <c r="F117" s="95">
        <f>SUM(F114:F116)</f>
        <v>-4784.0050000000601</v>
      </c>
      <c r="G117" s="95">
        <f>SUM(G114:G116)</f>
        <v>-5851.509</v>
      </c>
      <c r="H117" s="95">
        <f t="shared" ref="H117" si="66">SUM(H114:H116)</f>
        <v>-5588.4840000000004</v>
      </c>
      <c r="I117" s="95">
        <f>SUM(I114:I116)</f>
        <v>-6574.5755317082849</v>
      </c>
      <c r="J117" s="95">
        <f t="shared" ref="J117:M117" si="67">SUM(J114:J116)</f>
        <v>-6467.3975848072778</v>
      </c>
      <c r="K117" s="95">
        <f t="shared" si="67"/>
        <v>-6243.9285781967592</v>
      </c>
      <c r="L117" s="95">
        <f t="shared" si="67"/>
        <v>-5849.2941185249401</v>
      </c>
      <c r="M117" s="95">
        <f t="shared" si="67"/>
        <v>-5401.0292256822113</v>
      </c>
    </row>
    <row r="118" spans="2:23" ht="15.75" customHeight="1" outlineLevel="1" x14ac:dyDescent="0.25">
      <c r="P118" s="169"/>
      <c r="Q118" s="169"/>
      <c r="R118" s="169"/>
      <c r="S118" s="169"/>
      <c r="T118" s="169"/>
      <c r="U118" s="169"/>
      <c r="V118" s="169"/>
      <c r="W118" s="169"/>
    </row>
    <row r="119" spans="2:23" ht="15.75" customHeight="1" outlineLevel="1" x14ac:dyDescent="0.25">
      <c r="C119" s="3" t="s">
        <v>122</v>
      </c>
      <c r="D119" s="46" t="s">
        <v>129</v>
      </c>
      <c r="E119" s="175">
        <f>E111+E117</f>
        <v>1349.9709999999995</v>
      </c>
      <c r="F119" s="175">
        <f>F111+F117</f>
        <v>2845.4160000000002</v>
      </c>
      <c r="G119" s="175">
        <f>G111+G117</f>
        <v>4180.4769999999971</v>
      </c>
      <c r="H119" s="175">
        <f>H111+H117</f>
        <v>6573.5079999999907</v>
      </c>
      <c r="I119" s="175">
        <f>I111+I117</f>
        <v>-5613.3953552164285</v>
      </c>
      <c r="J119" s="175">
        <f t="shared" ref="J119:M119" si="68">J111+J117</f>
        <v>-3203.6262521314029</v>
      </c>
      <c r="K119" s="175">
        <f t="shared" si="68"/>
        <v>897.03702362195691</v>
      </c>
      <c r="L119" s="175">
        <f t="shared" si="68"/>
        <v>5449.7457090671851</v>
      </c>
      <c r="M119" s="175">
        <f t="shared" si="68"/>
        <v>8319.0974057317981</v>
      </c>
      <c r="P119" s="172"/>
      <c r="Q119" s="169"/>
      <c r="R119" s="169"/>
      <c r="S119" s="172"/>
      <c r="T119" s="169"/>
      <c r="U119" s="169"/>
      <c r="V119" s="169"/>
      <c r="W119" s="169"/>
    </row>
    <row r="120" spans="2:23" ht="15.75" customHeight="1" x14ac:dyDescent="0.25">
      <c r="C120" s="20"/>
      <c r="F120" s="149"/>
      <c r="G120" s="149"/>
      <c r="H120" s="154"/>
      <c r="I120" s="149"/>
      <c r="J120" s="149"/>
      <c r="K120" s="149"/>
      <c r="L120" s="149"/>
      <c r="M120" s="149"/>
      <c r="P120" s="172"/>
      <c r="Q120" s="169"/>
      <c r="R120" s="169"/>
      <c r="S120" s="172"/>
      <c r="T120" s="169"/>
      <c r="U120" s="169"/>
      <c r="V120" s="169"/>
      <c r="W120" s="169"/>
    </row>
    <row r="121" spans="2:23" ht="15.75" customHeight="1" x14ac:dyDescent="0.25">
      <c r="B121" s="24"/>
      <c r="C121" s="25"/>
      <c r="D121" s="26"/>
      <c r="E121" s="15" t="str">
        <f>$E$91</f>
        <v>Historical</v>
      </c>
      <c r="F121" s="15"/>
      <c r="G121" s="16"/>
      <c r="H121" s="16"/>
      <c r="I121" s="17" t="str">
        <f>$I$91</f>
        <v>Projected</v>
      </c>
      <c r="J121" s="18"/>
      <c r="K121" s="16"/>
      <c r="L121" s="16"/>
      <c r="M121" s="16"/>
      <c r="P121" s="172"/>
      <c r="Q121" s="169"/>
      <c r="R121" s="169"/>
      <c r="S121" s="172"/>
      <c r="T121" s="169"/>
      <c r="U121" s="169"/>
      <c r="V121" s="169"/>
      <c r="W121" s="169"/>
    </row>
    <row r="122" spans="2:23" ht="15.75" customHeight="1" x14ac:dyDescent="0.25">
      <c r="B122" s="4" t="s">
        <v>26</v>
      </c>
      <c r="C122" s="5"/>
      <c r="D122" s="34" t="str">
        <f>$D$5</f>
        <v>Units:</v>
      </c>
      <c r="E122" s="1">
        <f>$E$92</f>
        <v>42825</v>
      </c>
      <c r="F122" s="1">
        <f>$F$92</f>
        <v>43190</v>
      </c>
      <c r="G122" s="1">
        <f>$G$92</f>
        <v>43555</v>
      </c>
      <c r="H122" s="2">
        <f>$H$92</f>
        <v>43921</v>
      </c>
      <c r="I122" s="61">
        <f>$I$92</f>
        <v>44286</v>
      </c>
      <c r="J122" s="1">
        <f>$J$92</f>
        <v>44651</v>
      </c>
      <c r="K122" s="1">
        <f>$K$92</f>
        <v>45016</v>
      </c>
      <c r="L122" s="1">
        <f>$L$92</f>
        <v>45382</v>
      </c>
      <c r="M122" s="1">
        <f>$M$92</f>
        <v>45747</v>
      </c>
      <c r="P122" s="169"/>
      <c r="Q122" s="169"/>
      <c r="R122" s="169"/>
      <c r="S122" s="172"/>
      <c r="T122" s="169"/>
      <c r="U122" s="169"/>
      <c r="V122" s="169"/>
      <c r="W122" s="169"/>
    </row>
    <row r="123" spans="2:23" ht="15.75" customHeight="1" outlineLevel="1" x14ac:dyDescent="0.25">
      <c r="C123" s="3"/>
      <c r="F123" s="22"/>
      <c r="G123" s="22"/>
      <c r="H123" s="23"/>
      <c r="I123" s="22"/>
      <c r="J123" s="22"/>
      <c r="K123" s="22"/>
      <c r="L123" s="22"/>
      <c r="M123" s="22"/>
      <c r="P123" s="172"/>
      <c r="Q123" s="169"/>
      <c r="R123" s="169"/>
      <c r="S123" s="172"/>
      <c r="T123" s="169"/>
      <c r="U123" s="169"/>
      <c r="V123" s="169"/>
      <c r="W123" s="169"/>
    </row>
    <row r="124" spans="2:23" ht="15.75" customHeight="1" outlineLevel="1" x14ac:dyDescent="0.25">
      <c r="C124" s="3" t="s">
        <v>20</v>
      </c>
      <c r="D124" s="46" t="s">
        <v>129</v>
      </c>
      <c r="E124" s="124">
        <f t="shared" ref="E124:H124" si="69">E111-E107-E108</f>
        <v>12245.832999999991</v>
      </c>
      <c r="F124" s="124">
        <f t="shared" si="69"/>
        <v>16045.952000000059</v>
      </c>
      <c r="G124" s="124">
        <f t="shared" si="69"/>
        <v>18290.066999999995</v>
      </c>
      <c r="H124" s="124">
        <f t="shared" si="69"/>
        <v>20286.03999999999</v>
      </c>
      <c r="I124" s="124">
        <f>I111-I108-I107</f>
        <v>15298.69556289906</v>
      </c>
      <c r="J124" s="124">
        <f t="shared" ref="J124:M124" si="70">J111-J108-J107</f>
        <v>18360.035848020441</v>
      </c>
      <c r="K124" s="124">
        <f t="shared" si="70"/>
        <v>22113.753572918718</v>
      </c>
      <c r="L124" s="124">
        <f t="shared" si="70"/>
        <v>26109.089068576945</v>
      </c>
      <c r="M124" s="124">
        <f t="shared" si="70"/>
        <v>28248.19546342461</v>
      </c>
      <c r="P124" s="169"/>
      <c r="Q124" s="169"/>
      <c r="R124" s="169"/>
      <c r="S124" s="172"/>
      <c r="T124" s="169"/>
      <c r="U124" s="169"/>
      <c r="V124" s="169"/>
      <c r="W124" s="169"/>
    </row>
    <row r="125" spans="2:23" ht="15.75" customHeight="1" outlineLevel="1" x14ac:dyDescent="0.25">
      <c r="C125" s="133" t="s">
        <v>146</v>
      </c>
      <c r="D125" s="46" t="s">
        <v>129</v>
      </c>
      <c r="E125" s="94">
        <f>-2186.276-1953.717</f>
        <v>-4139.9930000000004</v>
      </c>
      <c r="F125" s="94">
        <f>-2502.696-1260.906</f>
        <v>-3763.6019999999999</v>
      </c>
      <c r="G125" s="94">
        <f>-3009.765-446.38</f>
        <v>-3456.145</v>
      </c>
      <c r="H125" s="94">
        <f>-2758.908-1284.028</f>
        <v>-4042.9359999999997</v>
      </c>
      <c r="I125" s="144">
        <f>-I75*I61</f>
        <v>-8434.4476271186431</v>
      </c>
      <c r="J125" s="144">
        <f t="shared" ref="J125:M125" si="71">-J75*J61</f>
        <v>-7210.606930434782</v>
      </c>
      <c r="K125" s="144">
        <f t="shared" si="71"/>
        <v>-4904.9465220000011</v>
      </c>
      <c r="L125" s="144">
        <f t="shared" si="71"/>
        <v>-5544.3949382029105</v>
      </c>
      <c r="M125" s="144">
        <f t="shared" si="71"/>
        <v>-6187.936972744802</v>
      </c>
      <c r="P125" s="172"/>
      <c r="Q125" s="169"/>
      <c r="R125" s="169"/>
      <c r="S125" s="169"/>
      <c r="T125" s="169"/>
      <c r="U125" s="169"/>
      <c r="V125" s="169"/>
      <c r="W125" s="169"/>
    </row>
    <row r="126" spans="2:23" ht="15.75" customHeight="1" outlineLevel="1" x14ac:dyDescent="0.25">
      <c r="C126" s="133" t="s">
        <v>24</v>
      </c>
      <c r="D126" s="46" t="s">
        <v>129</v>
      </c>
      <c r="E126" s="94">
        <f t="shared" ref="E126:H126" si="72">E86</f>
        <v>897</v>
      </c>
      <c r="F126" s="94">
        <f t="shared" si="72"/>
        <v>5447</v>
      </c>
      <c r="G126" s="94">
        <f t="shared" si="72"/>
        <v>3375</v>
      </c>
      <c r="H126" s="94">
        <f t="shared" si="72"/>
        <v>-2147</v>
      </c>
      <c r="I126" s="144">
        <f>I86</f>
        <v>2061.9270848040355</v>
      </c>
      <c r="J126" s="144">
        <f t="shared" ref="J126:M126" si="73">J86</f>
        <v>2151.7637430823625</v>
      </c>
      <c r="K126" s="144">
        <f t="shared" si="73"/>
        <v>2292.6513445952023</v>
      </c>
      <c r="L126" s="144">
        <f t="shared" si="73"/>
        <v>2426.8482367741017</v>
      </c>
      <c r="M126" s="144">
        <f t="shared" si="73"/>
        <v>2538.1562361924775</v>
      </c>
      <c r="P126" s="172"/>
      <c r="Q126" s="169"/>
      <c r="R126" s="169"/>
      <c r="S126" s="169"/>
      <c r="T126" s="169"/>
      <c r="U126" s="169"/>
      <c r="V126" s="169"/>
      <c r="W126" s="169"/>
    </row>
    <row r="127" spans="2:23" ht="15.75" customHeight="1" outlineLevel="1" x14ac:dyDescent="0.25">
      <c r="C127" s="133" t="s">
        <v>67</v>
      </c>
      <c r="D127" s="46" t="s">
        <v>129</v>
      </c>
      <c r="E127" s="94">
        <f>E114</f>
        <v>-4103.5150000000003</v>
      </c>
      <c r="F127" s="94">
        <f t="shared" ref="F127:H127" si="74">F114</f>
        <v>-4654.848</v>
      </c>
      <c r="G127" s="94">
        <f t="shared" si="74"/>
        <v>-4916.3829999999998</v>
      </c>
      <c r="H127" s="94">
        <f t="shared" si="74"/>
        <v>-5043.366</v>
      </c>
      <c r="I127" s="144">
        <f>I183</f>
        <v>-4868.6495999999979</v>
      </c>
      <c r="J127" s="144">
        <f t="shared" ref="J127:M127" si="75">J183</f>
        <v>-4732.3456153544257</v>
      </c>
      <c r="K127" s="144">
        <f t="shared" si="75"/>
        <v>-4470.8972229004949</v>
      </c>
      <c r="L127" s="144">
        <f t="shared" si="75"/>
        <v>-4071.6021425704148</v>
      </c>
      <c r="M127" s="144">
        <f t="shared" si="75"/>
        <v>-3644.2170771536739</v>
      </c>
      <c r="P127" s="172"/>
      <c r="Q127" s="169"/>
      <c r="R127" s="169"/>
      <c r="S127" s="169"/>
      <c r="T127" s="169"/>
      <c r="U127" s="169"/>
      <c r="V127" s="169"/>
      <c r="W127" s="169"/>
    </row>
    <row r="128" spans="2:23" ht="15.75" customHeight="1" outlineLevel="1" x14ac:dyDescent="0.25">
      <c r="C128" s="133" t="s">
        <v>145</v>
      </c>
      <c r="D128" s="46" t="s">
        <v>129</v>
      </c>
      <c r="E128" s="93">
        <v>-889.25599999999997</v>
      </c>
      <c r="F128" s="93">
        <v>-1524.6969999999999</v>
      </c>
      <c r="G128" s="93">
        <v>-2924.6840000000002</v>
      </c>
      <c r="H128" s="93">
        <v>-2016.768</v>
      </c>
      <c r="I128" s="144">
        <f>-(I119-I108)*I89</f>
        <v>-543.76404185980994</v>
      </c>
      <c r="J128" s="144">
        <f t="shared" ref="J128:M128" si="76">-(J119-J108)*J89</f>
        <v>-1316.6407778237087</v>
      </c>
      <c r="K128" s="144">
        <f t="shared" si="76"/>
        <v>-2631.8320315392152</v>
      </c>
      <c r="L128" s="144">
        <f t="shared" si="76"/>
        <v>-4092.006213412792</v>
      </c>
      <c r="M128" s="144">
        <f t="shared" si="76"/>
        <v>-5012.2832519106059</v>
      </c>
      <c r="P128" s="172"/>
      <c r="Q128" s="169"/>
      <c r="R128" s="169"/>
      <c r="S128" s="169"/>
      <c r="T128" s="169"/>
      <c r="U128" s="169"/>
      <c r="V128" s="169"/>
      <c r="W128" s="169"/>
    </row>
    <row r="129" spans="2:24" ht="15.75" customHeight="1" outlineLevel="1" x14ac:dyDescent="0.25">
      <c r="C129" s="133" t="s">
        <v>150</v>
      </c>
      <c r="D129" s="46" t="s">
        <v>129</v>
      </c>
      <c r="E129" s="94">
        <f>E116</f>
        <v>1096.2180000000094</v>
      </c>
      <c r="F129" s="94">
        <f t="shared" ref="F129:H129" si="77">F116</f>
        <v>-275.95800000006079</v>
      </c>
      <c r="G129" s="94">
        <f t="shared" si="77"/>
        <v>-1078.0550000000001</v>
      </c>
      <c r="H129" s="94">
        <f t="shared" si="77"/>
        <v>-682.83199999999999</v>
      </c>
      <c r="I129" s="94">
        <f>I116</f>
        <v>-233.0427317082879</v>
      </c>
      <c r="J129" s="94">
        <f t="shared" ref="J129:M129" si="78">J116</f>
        <v>-243.19623345285373</v>
      </c>
      <c r="K129" s="94">
        <f t="shared" si="78"/>
        <v>-259.11960521626469</v>
      </c>
      <c r="L129" s="94">
        <f t="shared" si="78"/>
        <v>-274.28678089896135</v>
      </c>
      <c r="M129" s="94">
        <f t="shared" si="78"/>
        <v>-286.86701248746493</v>
      </c>
      <c r="P129" s="172"/>
      <c r="Q129" s="169"/>
      <c r="R129" s="169"/>
      <c r="S129" s="169"/>
      <c r="T129" s="169"/>
      <c r="U129" s="169"/>
      <c r="V129" s="169"/>
      <c r="W129" s="169"/>
    </row>
    <row r="130" spans="2:24" ht="15.75" customHeight="1" outlineLevel="1" x14ac:dyDescent="0.25">
      <c r="C130" s="133" t="s">
        <v>68</v>
      </c>
      <c r="D130" s="43" t="s">
        <v>129</v>
      </c>
      <c r="E130" s="125">
        <f>E115</f>
        <v>151.52799999999999</v>
      </c>
      <c r="F130" s="125">
        <f t="shared" ref="F130:H130" si="79">F115</f>
        <v>146.80099999999999</v>
      </c>
      <c r="G130" s="125">
        <f t="shared" si="79"/>
        <v>142.929</v>
      </c>
      <c r="H130" s="125">
        <f t="shared" si="79"/>
        <v>137.714</v>
      </c>
      <c r="I130" s="155">
        <f>I185</f>
        <v>150</v>
      </c>
      <c r="J130" s="155">
        <f t="shared" ref="J130:M130" si="80">J185</f>
        <v>200</v>
      </c>
      <c r="K130" s="155">
        <f t="shared" si="80"/>
        <v>250</v>
      </c>
      <c r="L130" s="155">
        <f t="shared" si="80"/>
        <v>335.789266626835</v>
      </c>
      <c r="M130" s="155">
        <f t="shared" si="80"/>
        <v>447.90878654679921</v>
      </c>
      <c r="P130" s="169"/>
      <c r="Q130" s="169"/>
      <c r="R130" s="169"/>
      <c r="S130" s="169"/>
      <c r="T130" s="169"/>
      <c r="U130" s="169"/>
      <c r="V130" s="169"/>
      <c r="W130" s="169"/>
    </row>
    <row r="131" spans="2:24" ht="15.75" customHeight="1" outlineLevel="1" x14ac:dyDescent="0.25">
      <c r="C131" s="32" t="s">
        <v>25</v>
      </c>
      <c r="D131" s="46" t="s">
        <v>129</v>
      </c>
      <c r="E131" s="126">
        <f>SUM(E124:E130)</f>
        <v>5257.8150000000005</v>
      </c>
      <c r="F131" s="126">
        <f>SUM(F124:F130)</f>
        <v>11420.647999999999</v>
      </c>
      <c r="G131" s="126">
        <f>SUM(G124:G130)</f>
        <v>9432.7289999999957</v>
      </c>
      <c r="H131" s="126">
        <f>SUM(H124:H130)</f>
        <v>6490.8519999999899</v>
      </c>
      <c r="I131" s="126">
        <f>SUM(I124:I130)</f>
        <v>3430.718647016357</v>
      </c>
      <c r="J131" s="126">
        <f t="shared" ref="J131:M131" si="81">SUM(J124:J130)</f>
        <v>7209.0100340370336</v>
      </c>
      <c r="K131" s="126">
        <f t="shared" si="81"/>
        <v>12389.609535857942</v>
      </c>
      <c r="L131" s="126">
        <f t="shared" si="81"/>
        <v>14889.436496892806</v>
      </c>
      <c r="M131" s="126">
        <f t="shared" si="81"/>
        <v>16102.956171867341</v>
      </c>
      <c r="P131" s="169"/>
      <c r="Q131" s="169"/>
      <c r="R131" s="169"/>
      <c r="S131" s="169"/>
      <c r="T131" s="169"/>
      <c r="U131" s="169"/>
      <c r="V131" s="169"/>
      <c r="W131" s="169"/>
    </row>
    <row r="132" spans="2:24" ht="15.75" customHeight="1" outlineLevel="1" x14ac:dyDescent="0.25">
      <c r="C132" s="3"/>
      <c r="F132" s="22"/>
      <c r="G132" s="22"/>
      <c r="H132" s="23"/>
      <c r="I132" s="22"/>
      <c r="J132" s="22"/>
      <c r="K132" s="22"/>
      <c r="L132" s="22"/>
      <c r="M132" s="22"/>
    </row>
    <row r="133" spans="2:24" ht="15.75" customHeight="1" outlineLevel="1" x14ac:dyDescent="0.25">
      <c r="C133" s="130" t="s">
        <v>27</v>
      </c>
      <c r="D133" s="46" t="s">
        <v>129</v>
      </c>
      <c r="E133" s="42"/>
      <c r="F133" s="22"/>
      <c r="G133" s="22"/>
      <c r="H133" s="23"/>
      <c r="I133" s="144">
        <f>H136</f>
        <v>20000</v>
      </c>
      <c r="J133" s="144">
        <f>I136</f>
        <v>20000</v>
      </c>
      <c r="K133" s="144">
        <f t="shared" ref="K133:M133" si="82">J136</f>
        <v>20000</v>
      </c>
      <c r="L133" s="144">
        <f t="shared" si="82"/>
        <v>22385.951108455669</v>
      </c>
      <c r="M133" s="144">
        <f t="shared" si="82"/>
        <v>25594.787802674236</v>
      </c>
    </row>
    <row r="134" spans="2:24" ht="15.75" customHeight="1" outlineLevel="1" x14ac:dyDescent="0.25">
      <c r="C134" s="133" t="s">
        <v>40</v>
      </c>
      <c r="D134" s="46" t="s">
        <v>129</v>
      </c>
      <c r="E134" s="42"/>
      <c r="F134" s="22"/>
      <c r="G134" s="22"/>
      <c r="H134" s="23"/>
      <c r="I134" s="144">
        <f>I131</f>
        <v>3430.718647016357</v>
      </c>
      <c r="J134" s="144">
        <f t="shared" ref="J134:M134" si="83">J131</f>
        <v>7209.0100340370336</v>
      </c>
      <c r="K134" s="144">
        <f t="shared" si="83"/>
        <v>12389.609535857942</v>
      </c>
      <c r="L134" s="144">
        <f t="shared" si="83"/>
        <v>14889.436496892806</v>
      </c>
      <c r="M134" s="144">
        <f t="shared" si="83"/>
        <v>16102.956171867341</v>
      </c>
    </row>
    <row r="135" spans="2:24" ht="15.75" customHeight="1" outlineLevel="1" x14ac:dyDescent="0.25">
      <c r="C135" s="133" t="s">
        <v>46</v>
      </c>
      <c r="D135" s="43" t="s">
        <v>129</v>
      </c>
      <c r="E135" s="43"/>
      <c r="F135" s="22"/>
      <c r="G135" s="22"/>
      <c r="H135" s="23"/>
      <c r="I135" s="144">
        <f>I182</f>
        <v>-3430.718647016357</v>
      </c>
      <c r="J135" s="144">
        <f t="shared" ref="J135:M135" si="84">J182</f>
        <v>-7209.0100340370327</v>
      </c>
      <c r="K135" s="144">
        <f t="shared" si="84"/>
        <v>-10003.658427402272</v>
      </c>
      <c r="L135" s="144">
        <f t="shared" si="84"/>
        <v>-11680.599802674235</v>
      </c>
      <c r="M135" s="144">
        <f t="shared" si="84"/>
        <v>-13891.777987270787</v>
      </c>
    </row>
    <row r="136" spans="2:24" ht="15.75" customHeight="1" outlineLevel="1" x14ac:dyDescent="0.25">
      <c r="C136" s="32" t="s">
        <v>29</v>
      </c>
      <c r="D136" s="46" t="s">
        <v>129</v>
      </c>
      <c r="E136" s="176"/>
      <c r="F136" s="177"/>
      <c r="G136" s="177"/>
      <c r="H136" s="178">
        <f>-L8-D37</f>
        <v>20000</v>
      </c>
      <c r="I136" s="177">
        <f>SUM(I133:I135)</f>
        <v>20000</v>
      </c>
      <c r="J136" s="177">
        <f>SUM(J133:J135)</f>
        <v>20000</v>
      </c>
      <c r="K136" s="177">
        <f t="shared" ref="K136:M136" si="85">SUM(K133:K135)</f>
        <v>22385.951108455669</v>
      </c>
      <c r="L136" s="177">
        <f t="shared" si="85"/>
        <v>25594.787802674236</v>
      </c>
      <c r="M136" s="177">
        <f t="shared" si="85"/>
        <v>27805.965987270789</v>
      </c>
    </row>
    <row r="137" spans="2:24" ht="15.75" customHeight="1" x14ac:dyDescent="0.25">
      <c r="C137" s="3"/>
      <c r="H137" s="139"/>
      <c r="I137" s="149"/>
      <c r="J137" s="149"/>
      <c r="K137" s="149"/>
      <c r="L137" s="149"/>
      <c r="M137" s="149"/>
    </row>
    <row r="138" spans="2:24" ht="15.75" customHeight="1" x14ac:dyDescent="0.25">
      <c r="B138" s="24"/>
      <c r="C138" s="25"/>
      <c r="D138" s="26"/>
      <c r="E138" s="15" t="str">
        <f>$E$91</f>
        <v>Historical</v>
      </c>
      <c r="F138" s="15"/>
      <c r="G138" s="16"/>
      <c r="H138" s="16"/>
      <c r="I138" s="17" t="str">
        <f>$I$91</f>
        <v>Projected</v>
      </c>
      <c r="J138" s="18"/>
      <c r="K138" s="16"/>
      <c r="L138" s="16"/>
      <c r="M138" s="16"/>
    </row>
    <row r="139" spans="2:24" ht="15.75" customHeight="1" x14ac:dyDescent="0.25">
      <c r="B139" s="4" t="s">
        <v>5</v>
      </c>
      <c r="C139" s="5"/>
      <c r="D139" s="34" t="str">
        <f>$D$5</f>
        <v>Units:</v>
      </c>
      <c r="E139" s="1">
        <f>$E$92</f>
        <v>42825</v>
      </c>
      <c r="F139" s="1">
        <f>$F$92</f>
        <v>43190</v>
      </c>
      <c r="G139" s="1">
        <f>$G$92</f>
        <v>43555</v>
      </c>
      <c r="H139" s="2">
        <f>$H$92</f>
        <v>43921</v>
      </c>
      <c r="I139" s="61">
        <f>$I$92</f>
        <v>44286</v>
      </c>
      <c r="J139" s="1">
        <f>$J$92</f>
        <v>44651</v>
      </c>
      <c r="K139" s="1">
        <f>$K$92</f>
        <v>45016</v>
      </c>
      <c r="L139" s="1">
        <f>$L$92</f>
        <v>45382</v>
      </c>
      <c r="M139" s="1">
        <f>$M$92</f>
        <v>45747</v>
      </c>
      <c r="O139" s="9" t="s">
        <v>5</v>
      </c>
      <c r="P139" s="9"/>
      <c r="Q139" s="9"/>
      <c r="R139" s="9"/>
      <c r="S139" s="9"/>
      <c r="T139" s="9"/>
      <c r="U139" s="9"/>
      <c r="V139" s="9"/>
      <c r="W139" s="9"/>
      <c r="X139" s="9"/>
    </row>
    <row r="140" spans="2:24" ht="15.75" customHeight="1" outlineLevel="1" x14ac:dyDescent="0.25">
      <c r="B140" s="35"/>
      <c r="C140" s="36"/>
      <c r="D140" s="37"/>
      <c r="E140" s="37"/>
      <c r="F140" s="38"/>
      <c r="G140" s="38"/>
      <c r="H140" s="38"/>
      <c r="I140" s="38"/>
      <c r="J140" s="38"/>
      <c r="K140" s="38"/>
      <c r="L140" s="38"/>
      <c r="M140" s="38"/>
    </row>
    <row r="141" spans="2:24" ht="15.75" customHeight="1" outlineLevel="1" x14ac:dyDescent="0.25">
      <c r="B141" s="35"/>
      <c r="C141" s="9" t="s">
        <v>81</v>
      </c>
      <c r="D141" s="9"/>
      <c r="E141" s="9"/>
      <c r="F141" s="9"/>
      <c r="G141" s="9"/>
      <c r="H141" s="9"/>
      <c r="I141" s="9"/>
      <c r="J141" s="9"/>
      <c r="K141" s="9"/>
      <c r="L141" s="9"/>
      <c r="M141" s="9"/>
      <c r="P141" s="169" t="s">
        <v>193</v>
      </c>
    </row>
    <row r="142" spans="2:24" ht="15.75" customHeight="1" outlineLevel="1" x14ac:dyDescent="0.25">
      <c r="B142" s="35"/>
      <c r="C142" s="67" t="s">
        <v>153</v>
      </c>
      <c r="D142" s="44" t="s">
        <v>30</v>
      </c>
      <c r="E142" s="44"/>
      <c r="F142" s="38"/>
      <c r="G142" s="38"/>
      <c r="H142" s="38"/>
      <c r="I142" s="40">
        <v>2.5000000000000001E-3</v>
      </c>
      <c r="J142" s="40">
        <v>5.0000000000000001E-3</v>
      </c>
      <c r="K142" s="40">
        <v>7.4999999999999997E-3</v>
      </c>
      <c r="L142" s="40">
        <v>0.01</v>
      </c>
      <c r="M142" s="40">
        <v>1.2500000000000001E-2</v>
      </c>
      <c r="P142" s="169" t="s">
        <v>194</v>
      </c>
    </row>
    <row r="143" spans="2:24" ht="15.75" customHeight="1" outlineLevel="1" x14ac:dyDescent="0.25">
      <c r="B143" s="35"/>
      <c r="C143" s="67"/>
      <c r="D143" s="44"/>
      <c r="E143" s="44"/>
      <c r="F143" s="38"/>
      <c r="G143" s="38"/>
      <c r="H143" s="38"/>
      <c r="I143" s="40"/>
      <c r="J143" s="40"/>
      <c r="K143" s="40"/>
      <c r="L143" s="40"/>
      <c r="M143" s="40"/>
    </row>
    <row r="144" spans="2:24" ht="15.75" customHeight="1" outlineLevel="1" x14ac:dyDescent="0.25">
      <c r="B144" s="35"/>
      <c r="C144" s="133" t="str">
        <f>+$C$33</f>
        <v>Revolver:</v>
      </c>
      <c r="D144" s="44" t="s">
        <v>30</v>
      </c>
      <c r="E144" s="37"/>
      <c r="F144" s="38"/>
      <c r="G144" s="38"/>
      <c r="H144" s="38"/>
      <c r="I144" s="41">
        <f>MAX($D$45,I$142)+$E$45</f>
        <v>3.4999999999999996E-2</v>
      </c>
      <c r="J144" s="41">
        <f t="shared" ref="J144:M144" si="86">MAX($D$45,J$142)+$E$45</f>
        <v>3.4999999999999996E-2</v>
      </c>
      <c r="K144" s="41">
        <f t="shared" si="86"/>
        <v>3.7499999999999999E-2</v>
      </c>
      <c r="L144" s="41">
        <f t="shared" si="86"/>
        <v>0.04</v>
      </c>
      <c r="M144" s="41">
        <f t="shared" si="86"/>
        <v>4.2499999999999996E-2</v>
      </c>
      <c r="P144" s="169" t="s">
        <v>195</v>
      </c>
    </row>
    <row r="145" spans="2:24" ht="15.75" customHeight="1" outlineLevel="1" x14ac:dyDescent="0.25">
      <c r="B145" s="35"/>
      <c r="C145" s="133" t="str">
        <f>+$C$34</f>
        <v>Term Loans:</v>
      </c>
      <c r="D145" s="44" t="s">
        <v>30</v>
      </c>
      <c r="E145" s="37"/>
      <c r="F145" s="38"/>
      <c r="G145" s="38"/>
      <c r="H145" s="38"/>
      <c r="I145" s="41">
        <f>MAX($D$46,I$142)+$E$46</f>
        <v>0.05</v>
      </c>
      <c r="J145" s="41">
        <f t="shared" ref="J145:M145" si="87">MAX($D$46,J$142)+$E$46</f>
        <v>0.05</v>
      </c>
      <c r="K145" s="41">
        <f t="shared" si="87"/>
        <v>0.05</v>
      </c>
      <c r="L145" s="41">
        <f t="shared" si="87"/>
        <v>0.05</v>
      </c>
      <c r="M145" s="41">
        <f t="shared" si="87"/>
        <v>5.2500000000000005E-2</v>
      </c>
      <c r="P145" s="169" t="s">
        <v>196</v>
      </c>
    </row>
    <row r="146" spans="2:24" ht="15.75" customHeight="1" outlineLevel="1" x14ac:dyDescent="0.25">
      <c r="B146" s="35"/>
      <c r="C146" s="133" t="str">
        <f>+$C$35</f>
        <v>Subordinated Notes:</v>
      </c>
      <c r="D146" s="44" t="s">
        <v>30</v>
      </c>
      <c r="E146" s="37"/>
      <c r="F146" s="38"/>
      <c r="G146" s="38"/>
      <c r="H146" s="38"/>
      <c r="I146" s="41">
        <f>$F$47+$G$47</f>
        <v>7.0000000000000007E-2</v>
      </c>
      <c r="J146" s="41">
        <f t="shared" ref="J146:M146" si="88">$F$47+$G$47</f>
        <v>7.0000000000000007E-2</v>
      </c>
      <c r="K146" s="41">
        <f t="shared" si="88"/>
        <v>7.0000000000000007E-2</v>
      </c>
      <c r="L146" s="41">
        <f t="shared" si="88"/>
        <v>7.0000000000000007E-2</v>
      </c>
      <c r="M146" s="41">
        <f t="shared" si="88"/>
        <v>7.0000000000000007E-2</v>
      </c>
      <c r="P146" s="169" t="s">
        <v>197</v>
      </c>
    </row>
    <row r="147" spans="2:24" ht="15.75" customHeight="1" outlineLevel="1" x14ac:dyDescent="0.25">
      <c r="B147" s="35"/>
      <c r="C147" s="133" t="str">
        <f>+$C$36</f>
        <v>Mezzanine:</v>
      </c>
      <c r="D147" s="44" t="s">
        <v>30</v>
      </c>
      <c r="E147" s="37"/>
      <c r="F147" s="38"/>
      <c r="G147" s="38"/>
      <c r="H147" s="38"/>
      <c r="I147" s="41">
        <f>$F$48+$G$48</f>
        <v>0.1</v>
      </c>
      <c r="J147" s="41">
        <f t="shared" ref="J147:M147" si="89">$F$48+$G$48</f>
        <v>0.1</v>
      </c>
      <c r="K147" s="41">
        <f t="shared" si="89"/>
        <v>0.1</v>
      </c>
      <c r="L147" s="41">
        <f t="shared" si="89"/>
        <v>0.1</v>
      </c>
      <c r="M147" s="41">
        <f t="shared" si="89"/>
        <v>0.1</v>
      </c>
    </row>
    <row r="148" spans="2:24" ht="15.75" customHeight="1" outlineLevel="1" x14ac:dyDescent="0.25">
      <c r="B148" s="35"/>
      <c r="C148" s="133" t="s">
        <v>70</v>
      </c>
      <c r="D148" s="44" t="s">
        <v>30</v>
      </c>
      <c r="E148" s="37"/>
      <c r="F148" s="38"/>
      <c r="G148" s="38"/>
      <c r="H148" s="38"/>
      <c r="I148" s="41">
        <f>I142+$E$49</f>
        <v>7.4999999999999997E-3</v>
      </c>
      <c r="J148" s="41">
        <f t="shared" ref="J148:M148" si="90">J142+$E$49</f>
        <v>0.01</v>
      </c>
      <c r="K148" s="41">
        <f t="shared" si="90"/>
        <v>1.2500000000000001E-2</v>
      </c>
      <c r="L148" s="41">
        <f t="shared" si="90"/>
        <v>1.4999999999999999E-2</v>
      </c>
      <c r="M148" s="41">
        <f t="shared" si="90"/>
        <v>1.7500000000000002E-2</v>
      </c>
      <c r="O148" s="9" t="s">
        <v>198</v>
      </c>
      <c r="P148" s="9"/>
      <c r="Q148" s="9"/>
      <c r="R148" s="9"/>
      <c r="S148" s="9"/>
      <c r="T148" s="9"/>
      <c r="U148" s="9"/>
      <c r="V148" s="9"/>
      <c r="W148" s="9"/>
      <c r="X148" s="9"/>
    </row>
    <row r="149" spans="2:24" ht="15.75" customHeight="1" outlineLevel="1" x14ac:dyDescent="0.25">
      <c r="B149" s="35"/>
      <c r="C149" s="36"/>
      <c r="D149" s="37"/>
      <c r="E149" s="37"/>
      <c r="F149" s="38"/>
      <c r="G149" s="38"/>
      <c r="H149" s="38"/>
      <c r="I149" s="38"/>
      <c r="J149" s="38"/>
      <c r="K149" s="38"/>
      <c r="L149" s="38"/>
      <c r="M149" s="38"/>
    </row>
    <row r="150" spans="2:24" ht="15.75" customHeight="1" outlineLevel="1" x14ac:dyDescent="0.25">
      <c r="C150" s="9" t="s">
        <v>99</v>
      </c>
      <c r="D150" s="9"/>
      <c r="E150" s="9"/>
      <c r="F150" s="9"/>
      <c r="G150" s="9"/>
      <c r="H150" s="9"/>
      <c r="I150" s="9"/>
      <c r="J150" s="9"/>
      <c r="K150" s="9"/>
      <c r="L150" s="9"/>
      <c r="M150" s="9"/>
      <c r="P150" s="169" t="s">
        <v>199</v>
      </c>
    </row>
    <row r="151" spans="2:24" ht="15.75" customHeight="1" outlineLevel="1" x14ac:dyDescent="0.25">
      <c r="C151" s="133" t="s">
        <v>27</v>
      </c>
      <c r="D151" s="46" t="s">
        <v>129</v>
      </c>
      <c r="E151" s="42"/>
      <c r="H151" s="139"/>
      <c r="I151" s="142">
        <f>I133</f>
        <v>20000</v>
      </c>
      <c r="J151" s="142">
        <f t="shared" ref="J151:M151" si="91">J133</f>
        <v>20000</v>
      </c>
      <c r="K151" s="142">
        <f t="shared" si="91"/>
        <v>20000</v>
      </c>
      <c r="L151" s="142">
        <f t="shared" si="91"/>
        <v>22385.951108455669</v>
      </c>
      <c r="M151" s="142">
        <f t="shared" si="91"/>
        <v>25594.787802674236</v>
      </c>
    </row>
    <row r="152" spans="2:24" ht="15.75" customHeight="1" outlineLevel="1" x14ac:dyDescent="0.25">
      <c r="C152" s="156" t="s">
        <v>40</v>
      </c>
      <c r="D152" s="46" t="s">
        <v>129</v>
      </c>
      <c r="E152" s="42"/>
      <c r="H152" s="139"/>
      <c r="I152" s="144">
        <f>I131</f>
        <v>3430.718647016357</v>
      </c>
      <c r="J152" s="144">
        <f t="shared" ref="J152:M152" si="92">J131</f>
        <v>7209.0100340370336</v>
      </c>
      <c r="K152" s="144">
        <f t="shared" si="92"/>
        <v>12389.609535857942</v>
      </c>
      <c r="L152" s="144">
        <f t="shared" si="92"/>
        <v>14889.436496892806</v>
      </c>
      <c r="M152" s="144">
        <f t="shared" si="92"/>
        <v>16102.956171867341</v>
      </c>
      <c r="P152" s="169" t="s">
        <v>200</v>
      </c>
    </row>
    <row r="153" spans="2:24" ht="15.75" customHeight="1" outlineLevel="1" x14ac:dyDescent="0.25">
      <c r="C153" s="156" t="s">
        <v>86</v>
      </c>
      <c r="D153" s="46" t="s">
        <v>129</v>
      </c>
      <c r="E153" s="42"/>
      <c r="H153" s="139"/>
      <c r="I153" s="144">
        <f>I164</f>
        <v>-6085.8119999999972</v>
      </c>
      <c r="J153" s="144">
        <f t="shared" ref="J153:M153" si="93">J164</f>
        <v>-6085.8119999999972</v>
      </c>
      <c r="K153" s="144">
        <f t="shared" si="93"/>
        <v>-6085.8119999999972</v>
      </c>
      <c r="L153" s="144">
        <f t="shared" si="93"/>
        <v>-6085.8119999999972</v>
      </c>
      <c r="M153" s="144">
        <f t="shared" si="93"/>
        <v>-6085.8119999999972</v>
      </c>
      <c r="P153" s="169" t="s">
        <v>201</v>
      </c>
    </row>
    <row r="154" spans="2:24" ht="15.75" customHeight="1" outlineLevel="1" x14ac:dyDescent="0.25">
      <c r="C154" s="156" t="s">
        <v>45</v>
      </c>
      <c r="D154" s="43" t="s">
        <v>129</v>
      </c>
      <c r="E154" s="43"/>
      <c r="H154" s="139"/>
      <c r="I154" s="155">
        <f>-Min_Cash</f>
        <v>-20000</v>
      </c>
      <c r="J154" s="155">
        <f>-Min_Cash</f>
        <v>-20000</v>
      </c>
      <c r="K154" s="155">
        <f>-Min_Cash</f>
        <v>-20000</v>
      </c>
      <c r="L154" s="155">
        <f>-Min_Cash</f>
        <v>-20000</v>
      </c>
      <c r="M154" s="155">
        <f>-Min_Cash</f>
        <v>-20000</v>
      </c>
    </row>
    <row r="155" spans="2:24" ht="15.75" customHeight="1" outlineLevel="1" x14ac:dyDescent="0.25">
      <c r="C155" s="39" t="s">
        <v>41</v>
      </c>
      <c r="D155" s="46" t="s">
        <v>129</v>
      </c>
      <c r="E155" s="42"/>
      <c r="F155" s="143"/>
      <c r="G155" s="143"/>
      <c r="H155" s="143"/>
      <c r="I155" s="96">
        <f>SUM(I151:I154)</f>
        <v>-2655.0933529836402</v>
      </c>
      <c r="J155" s="96">
        <f t="shared" ref="J155:M155" si="94">SUM(J151:J154)</f>
        <v>1123.1980340370355</v>
      </c>
      <c r="K155" s="96">
        <f t="shared" si="94"/>
        <v>6303.7975358579424</v>
      </c>
      <c r="L155" s="96">
        <f t="shared" si="94"/>
        <v>11189.575605348473</v>
      </c>
      <c r="M155" s="96">
        <f t="shared" si="94"/>
        <v>15611.931974541578</v>
      </c>
      <c r="P155" s="169" t="s">
        <v>202</v>
      </c>
    </row>
    <row r="156" spans="2:24" ht="15.75" customHeight="1" outlineLevel="1" x14ac:dyDescent="0.25">
      <c r="C156" s="133"/>
      <c r="H156" s="139"/>
      <c r="I156" s="157"/>
      <c r="J156" s="157"/>
      <c r="K156" s="157"/>
      <c r="L156" s="157"/>
      <c r="M156" s="157"/>
      <c r="P156" s="169" t="s">
        <v>203</v>
      </c>
    </row>
    <row r="157" spans="2:24" ht="15.75" customHeight="1" outlineLevel="1" x14ac:dyDescent="0.25">
      <c r="C157" s="133" t="s">
        <v>42</v>
      </c>
      <c r="D157" s="46" t="s">
        <v>129</v>
      </c>
      <c r="E157" s="42"/>
      <c r="H157" s="139"/>
      <c r="I157" s="144">
        <f>H159</f>
        <v>0</v>
      </c>
      <c r="J157" s="144">
        <f t="shared" ref="J157:M157" si="95">I159</f>
        <v>2655.0933529836402</v>
      </c>
      <c r="K157" s="144">
        <f t="shared" si="95"/>
        <v>1531.8953189466047</v>
      </c>
      <c r="L157" s="144">
        <f t="shared" si="95"/>
        <v>0</v>
      </c>
      <c r="M157" s="144">
        <f t="shared" si="95"/>
        <v>0</v>
      </c>
    </row>
    <row r="158" spans="2:24" ht="15.75" customHeight="1" outlineLevel="1" x14ac:dyDescent="0.25">
      <c r="C158" s="158" t="s">
        <v>43</v>
      </c>
      <c r="D158" s="43" t="s">
        <v>129</v>
      </c>
      <c r="E158" s="43"/>
      <c r="F158" s="159"/>
      <c r="G158" s="159"/>
      <c r="H158" s="159"/>
      <c r="I158" s="155">
        <f>IF(I155&gt;0,-MIN(I155,I157),-I155)</f>
        <v>2655.0933529836402</v>
      </c>
      <c r="J158" s="155">
        <f t="shared" ref="J158:M158" si="96">IF(J155&gt;0,-MIN(J155,J157),-J155)</f>
        <v>-1123.1980340370355</v>
      </c>
      <c r="K158" s="155">
        <f t="shared" si="96"/>
        <v>-1531.8953189466047</v>
      </c>
      <c r="L158" s="155">
        <f t="shared" si="96"/>
        <v>0</v>
      </c>
      <c r="M158" s="155">
        <f t="shared" si="96"/>
        <v>0</v>
      </c>
      <c r="O158" s="9" t="s">
        <v>204</v>
      </c>
      <c r="P158" s="9"/>
      <c r="Q158" s="9"/>
      <c r="R158" s="9"/>
      <c r="S158" s="9"/>
      <c r="T158" s="9"/>
      <c r="U158" s="9"/>
      <c r="V158" s="9"/>
      <c r="W158" s="9"/>
      <c r="X158" s="9"/>
    </row>
    <row r="159" spans="2:24" ht="15.75" customHeight="1" outlineLevel="1" x14ac:dyDescent="0.25">
      <c r="C159" s="27" t="s">
        <v>44</v>
      </c>
      <c r="D159" s="46" t="s">
        <v>129</v>
      </c>
      <c r="E159" s="42"/>
      <c r="H159" s="128">
        <f>D33</f>
        <v>0</v>
      </c>
      <c r="I159" s="96">
        <f>SUM(I157:I158)</f>
        <v>2655.0933529836402</v>
      </c>
      <c r="J159" s="96">
        <f t="shared" ref="J159:M159" si="97">SUM(J157:J158)</f>
        <v>1531.8953189466047</v>
      </c>
      <c r="K159" s="96">
        <f t="shared" si="97"/>
        <v>0</v>
      </c>
      <c r="L159" s="96">
        <f t="shared" si="97"/>
        <v>0</v>
      </c>
      <c r="M159" s="96">
        <f t="shared" si="97"/>
        <v>0</v>
      </c>
    </row>
    <row r="160" spans="2:24" ht="15.75" customHeight="1" outlineLevel="1" x14ac:dyDescent="0.25">
      <c r="C160" s="133" t="s">
        <v>87</v>
      </c>
      <c r="D160" s="46" t="s">
        <v>129</v>
      </c>
      <c r="E160" s="42"/>
      <c r="H160" s="139"/>
      <c r="I160" s="144">
        <f>I157*I144</f>
        <v>0</v>
      </c>
      <c r="J160" s="144">
        <f t="shared" ref="J160:M160" si="98">J157*J144</f>
        <v>92.928267354427405</v>
      </c>
      <c r="K160" s="144">
        <f t="shared" si="98"/>
        <v>57.446074460497677</v>
      </c>
      <c r="L160" s="144">
        <f t="shared" si="98"/>
        <v>0</v>
      </c>
      <c r="M160" s="144">
        <f t="shared" si="98"/>
        <v>0</v>
      </c>
      <c r="P160" s="169" t="s">
        <v>205</v>
      </c>
    </row>
    <row r="161" spans="3:16" ht="15.75" customHeight="1" outlineLevel="1" x14ac:dyDescent="0.25">
      <c r="C161" s="133"/>
      <c r="H161" s="139"/>
      <c r="I161" s="157"/>
      <c r="J161" s="157"/>
      <c r="K161" s="157"/>
      <c r="L161" s="157"/>
      <c r="M161" s="157"/>
      <c r="P161" s="169" t="s">
        <v>206</v>
      </c>
    </row>
    <row r="162" spans="3:16" ht="15.75" customHeight="1" outlineLevel="1" x14ac:dyDescent="0.25">
      <c r="C162" s="9" t="s">
        <v>71</v>
      </c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3:16" ht="15.75" customHeight="1" outlineLevel="1" x14ac:dyDescent="0.25">
      <c r="C163" s="133" t="s">
        <v>83</v>
      </c>
      <c r="D163" s="46" t="s">
        <v>129</v>
      </c>
      <c r="E163" s="42"/>
      <c r="H163" s="139"/>
      <c r="I163" s="144">
        <f>H166</f>
        <v>60858.119999999966</v>
      </c>
      <c r="J163" s="144">
        <f t="shared" ref="J163:M163" si="99">I166</f>
        <v>54772.307999999968</v>
      </c>
      <c r="K163" s="144">
        <f t="shared" si="99"/>
        <v>48686.49599999997</v>
      </c>
      <c r="L163" s="144">
        <f t="shared" si="99"/>
        <v>40214.732891544307</v>
      </c>
      <c r="M163" s="144">
        <f t="shared" si="99"/>
        <v>28534.133088870072</v>
      </c>
      <c r="P163" s="169" t="s">
        <v>207</v>
      </c>
    </row>
    <row r="164" spans="3:16" ht="15.75" customHeight="1" outlineLevel="1" x14ac:dyDescent="0.25">
      <c r="C164" s="156" t="s">
        <v>86</v>
      </c>
      <c r="D164" s="42" t="s">
        <v>129</v>
      </c>
      <c r="E164" s="42"/>
      <c r="H164" s="139"/>
      <c r="I164" s="163">
        <f>-MIN(I163,$H$166*$H$46)</f>
        <v>-6085.8119999999972</v>
      </c>
      <c r="J164" s="163">
        <f t="shared" ref="J164:M164" si="100">-MIN(J163,$H$166*$H$46)</f>
        <v>-6085.8119999999972</v>
      </c>
      <c r="K164" s="163">
        <f t="shared" si="100"/>
        <v>-6085.8119999999972</v>
      </c>
      <c r="L164" s="163">
        <f t="shared" si="100"/>
        <v>-6085.8119999999972</v>
      </c>
      <c r="M164" s="163">
        <f t="shared" si="100"/>
        <v>-6085.8119999999972</v>
      </c>
    </row>
    <row r="165" spans="3:16" ht="15.75" customHeight="1" outlineLevel="1" x14ac:dyDescent="0.25">
      <c r="C165" s="170" t="s">
        <v>174</v>
      </c>
      <c r="D165" s="43" t="s">
        <v>129</v>
      </c>
      <c r="E165" s="43"/>
      <c r="H165" s="139"/>
      <c r="I165" s="155">
        <f>IF(I155+I158&gt;0,-MIN((I155+I158)*$I$46,SUM(I163:I164)),0)</f>
        <v>0</v>
      </c>
      <c r="J165" s="155">
        <f t="shared" ref="J165:M165" si="101">IF(J155+J158&gt;0,-MIN((J155+J158)*$I$46,SUM(J163:J164)),0)</f>
        <v>0</v>
      </c>
      <c r="K165" s="155">
        <f t="shared" si="101"/>
        <v>-2385.9511084556689</v>
      </c>
      <c r="L165" s="155">
        <f t="shared" si="101"/>
        <v>-5594.7878026742364</v>
      </c>
      <c r="M165" s="155">
        <f t="shared" si="101"/>
        <v>-7805.9659872707889</v>
      </c>
      <c r="P165" s="3" t="s">
        <v>208</v>
      </c>
    </row>
    <row r="166" spans="3:16" ht="15.75" customHeight="1" outlineLevel="1" x14ac:dyDescent="0.25">
      <c r="C166" s="39" t="s">
        <v>82</v>
      </c>
      <c r="D166" s="46" t="s">
        <v>129</v>
      </c>
      <c r="E166" s="42"/>
      <c r="F166" s="143"/>
      <c r="G166" s="143"/>
      <c r="H166" s="127">
        <f>D34</f>
        <v>60858.119999999966</v>
      </c>
      <c r="I166" s="96">
        <f>SUM(I163:I165)</f>
        <v>54772.307999999968</v>
      </c>
      <c r="J166" s="96">
        <f t="shared" ref="J166:M166" si="102">SUM(J163:J165)</f>
        <v>48686.49599999997</v>
      </c>
      <c r="K166" s="96">
        <f t="shared" si="102"/>
        <v>40214.732891544307</v>
      </c>
      <c r="L166" s="96">
        <f t="shared" si="102"/>
        <v>28534.133088870072</v>
      </c>
      <c r="M166" s="96">
        <f t="shared" si="102"/>
        <v>14642.355101599285</v>
      </c>
    </row>
    <row r="167" spans="3:16" ht="15.75" customHeight="1" outlineLevel="1" x14ac:dyDescent="0.25">
      <c r="C167" s="133" t="s">
        <v>87</v>
      </c>
      <c r="D167" s="46" t="s">
        <v>129</v>
      </c>
      <c r="E167" s="42"/>
      <c r="H167" s="139"/>
      <c r="I167" s="144">
        <f>I163*I145</f>
        <v>3042.9059999999986</v>
      </c>
      <c r="J167" s="144">
        <f t="shared" ref="J167:M167" si="103">J163*J145</f>
        <v>2738.6153999999988</v>
      </c>
      <c r="K167" s="144">
        <f t="shared" si="103"/>
        <v>2434.3247999999985</v>
      </c>
      <c r="L167" s="144">
        <f t="shared" si="103"/>
        <v>2010.7366445772154</v>
      </c>
      <c r="M167" s="144">
        <f t="shared" si="103"/>
        <v>1498.0419871656788</v>
      </c>
      <c r="P167" s="185" t="s">
        <v>209</v>
      </c>
    </row>
    <row r="168" spans="3:16" ht="15.75" customHeight="1" outlineLevel="1" x14ac:dyDescent="0.25">
      <c r="C168" s="133"/>
      <c r="H168" s="139"/>
      <c r="I168" s="41"/>
      <c r="J168" s="41"/>
      <c r="K168" s="41"/>
      <c r="L168" s="41"/>
      <c r="M168" s="41"/>
    </row>
    <row r="169" spans="3:16" ht="15.75" customHeight="1" outlineLevel="1" x14ac:dyDescent="0.25">
      <c r="C169" s="9" t="s">
        <v>72</v>
      </c>
      <c r="D169" s="9"/>
      <c r="E169" s="9"/>
      <c r="F169" s="9"/>
      <c r="G169" s="9"/>
      <c r="H169" s="9"/>
      <c r="I169" s="9"/>
      <c r="J169" s="9"/>
      <c r="K169" s="9"/>
      <c r="L169" s="9"/>
      <c r="M169" s="9"/>
      <c r="P169" s="169" t="s">
        <v>210</v>
      </c>
    </row>
    <row r="170" spans="3:16" ht="15.75" customHeight="1" outlineLevel="1" x14ac:dyDescent="0.25">
      <c r="C170" s="133" t="s">
        <v>84</v>
      </c>
      <c r="D170" s="46" t="s">
        <v>129</v>
      </c>
      <c r="E170" s="42"/>
      <c r="H170" s="139"/>
      <c r="I170" s="144">
        <f>H172</f>
        <v>20286.03999999999</v>
      </c>
      <c r="J170" s="144">
        <f t="shared" ref="J170:M170" si="104">I172</f>
        <v>20894.62119999999</v>
      </c>
      <c r="K170" s="144">
        <f t="shared" si="104"/>
        <v>21521.459835999991</v>
      </c>
      <c r="L170" s="144">
        <f t="shared" si="104"/>
        <v>22167.10363107999</v>
      </c>
      <c r="M170" s="144">
        <f t="shared" si="104"/>
        <v>22832.116740012389</v>
      </c>
    </row>
    <row r="171" spans="3:16" ht="15.75" customHeight="1" outlineLevel="1" x14ac:dyDescent="0.25">
      <c r="C171" s="156" t="s">
        <v>38</v>
      </c>
      <c r="D171" s="43" t="s">
        <v>129</v>
      </c>
      <c r="E171" s="43"/>
      <c r="H171" s="139"/>
      <c r="I171" s="155">
        <f>I170*$G$47</f>
        <v>608.58119999999963</v>
      </c>
      <c r="J171" s="155">
        <f t="shared" ref="J171:M171" si="105">J170*$G$47</f>
        <v>626.83863599999972</v>
      </c>
      <c r="K171" s="155">
        <f t="shared" si="105"/>
        <v>645.64379507999968</v>
      </c>
      <c r="L171" s="155">
        <f t="shared" si="105"/>
        <v>665.01310893239963</v>
      </c>
      <c r="M171" s="155">
        <f t="shared" si="105"/>
        <v>684.96350220037164</v>
      </c>
      <c r="P171" s="169" t="s">
        <v>211</v>
      </c>
    </row>
    <row r="172" spans="3:16" ht="15.75" customHeight="1" outlineLevel="1" x14ac:dyDescent="0.25">
      <c r="C172" s="39" t="s">
        <v>85</v>
      </c>
      <c r="D172" s="46" t="s">
        <v>129</v>
      </c>
      <c r="E172" s="42"/>
      <c r="F172" s="143"/>
      <c r="G172" s="143"/>
      <c r="H172" s="127">
        <f>D35</f>
        <v>20286.03999999999</v>
      </c>
      <c r="I172" s="96">
        <f>SUM(I170:I171)</f>
        <v>20894.62119999999</v>
      </c>
      <c r="J172" s="96">
        <f t="shared" ref="J172:M172" si="106">SUM(J170:J171)</f>
        <v>21521.459835999991</v>
      </c>
      <c r="K172" s="96">
        <f t="shared" si="106"/>
        <v>22167.10363107999</v>
      </c>
      <c r="L172" s="96">
        <f t="shared" si="106"/>
        <v>22832.116740012389</v>
      </c>
      <c r="M172" s="96">
        <f t="shared" si="106"/>
        <v>23517.08024221276</v>
      </c>
    </row>
    <row r="173" spans="3:16" ht="15.75" customHeight="1" outlineLevel="1" x14ac:dyDescent="0.25">
      <c r="C173" s="133" t="s">
        <v>87</v>
      </c>
      <c r="D173" s="46" t="s">
        <v>129</v>
      </c>
      <c r="E173" s="42"/>
      <c r="H173" s="139"/>
      <c r="I173" s="144">
        <f>I170*$F$47</f>
        <v>811.44159999999965</v>
      </c>
      <c r="J173" s="144">
        <f t="shared" ref="J173:M173" si="107">J170*$F$47</f>
        <v>835.78484799999967</v>
      </c>
      <c r="K173" s="144">
        <f t="shared" si="107"/>
        <v>860.85839343999965</v>
      </c>
      <c r="L173" s="144">
        <f t="shared" si="107"/>
        <v>886.68414524319962</v>
      </c>
      <c r="M173" s="144">
        <f t="shared" si="107"/>
        <v>913.28466960049559</v>
      </c>
      <c r="P173" s="3" t="s">
        <v>212</v>
      </c>
    </row>
    <row r="174" spans="3:16" ht="15.75" customHeight="1" outlineLevel="1" x14ac:dyDescent="0.25">
      <c r="C174" s="133"/>
      <c r="H174" s="139"/>
      <c r="I174" s="149"/>
      <c r="J174" s="149"/>
      <c r="K174" s="149"/>
      <c r="L174" s="149"/>
      <c r="M174" s="149"/>
      <c r="P174" s="169" t="s">
        <v>213</v>
      </c>
    </row>
    <row r="175" spans="3:16" ht="15.75" customHeight="1" outlineLevel="1" x14ac:dyDescent="0.25">
      <c r="C175" s="9" t="s">
        <v>16</v>
      </c>
      <c r="D175" s="9"/>
      <c r="E175" s="9"/>
      <c r="F175" s="9"/>
      <c r="G175" s="9"/>
      <c r="H175" s="9"/>
      <c r="I175" s="9"/>
      <c r="J175" s="9"/>
      <c r="K175" s="9"/>
      <c r="L175" s="9"/>
      <c r="M175" s="9"/>
    </row>
    <row r="176" spans="3:16" ht="15.75" customHeight="1" outlineLevel="1" x14ac:dyDescent="0.25">
      <c r="C176" s="133" t="s">
        <v>37</v>
      </c>
      <c r="D176" s="46" t="s">
        <v>129</v>
      </c>
      <c r="E176" s="42"/>
      <c r="H176" s="139"/>
      <c r="I176" s="144">
        <f>H178</f>
        <v>20286.03999999999</v>
      </c>
      <c r="J176" s="144">
        <f t="shared" ref="J176:M176" si="108">I178</f>
        <v>21300.34199999999</v>
      </c>
      <c r="K176" s="144">
        <f t="shared" si="108"/>
        <v>22365.359099999991</v>
      </c>
      <c r="L176" s="144">
        <f t="shared" si="108"/>
        <v>23483.62705499999</v>
      </c>
      <c r="M176" s="144">
        <f t="shared" si="108"/>
        <v>24657.808407749988</v>
      </c>
      <c r="P176" s="169" t="s">
        <v>216</v>
      </c>
    </row>
    <row r="177" spans="2:24" ht="15.75" customHeight="1" outlineLevel="1" x14ac:dyDescent="0.25">
      <c r="C177" s="156" t="s">
        <v>38</v>
      </c>
      <c r="D177" s="43" t="s">
        <v>129</v>
      </c>
      <c r="E177" s="43"/>
      <c r="H177" s="139"/>
      <c r="I177" s="155">
        <f>I176*$G$48</f>
        <v>1014.3019999999996</v>
      </c>
      <c r="J177" s="155">
        <f t="shared" ref="J177:M177" si="109">J176*$G$48</f>
        <v>1065.0170999999996</v>
      </c>
      <c r="K177" s="155">
        <f t="shared" si="109"/>
        <v>1118.2679549999996</v>
      </c>
      <c r="L177" s="155">
        <f t="shared" si="109"/>
        <v>1174.1813527499996</v>
      </c>
      <c r="M177" s="155">
        <f t="shared" si="109"/>
        <v>1232.8904203874995</v>
      </c>
    </row>
    <row r="178" spans="2:24" ht="15.75" customHeight="1" outlineLevel="1" x14ac:dyDescent="0.25">
      <c r="C178" s="39" t="s">
        <v>36</v>
      </c>
      <c r="D178" s="46" t="s">
        <v>129</v>
      </c>
      <c r="E178" s="42"/>
      <c r="F178" s="143"/>
      <c r="G178" s="143"/>
      <c r="H178" s="127">
        <f>Mezz_Investment</f>
        <v>20286.03999999999</v>
      </c>
      <c r="I178" s="96">
        <f>SUM(I176:I177)</f>
        <v>21300.34199999999</v>
      </c>
      <c r="J178" s="96">
        <f t="shared" ref="J178:M178" si="110">SUM(J176:J177)</f>
        <v>22365.359099999991</v>
      </c>
      <c r="K178" s="96">
        <f t="shared" si="110"/>
        <v>23483.62705499999</v>
      </c>
      <c r="L178" s="96">
        <f t="shared" si="110"/>
        <v>24657.808407749988</v>
      </c>
      <c r="M178" s="96">
        <f t="shared" si="110"/>
        <v>25890.698828137487</v>
      </c>
      <c r="P178" s="185" t="s">
        <v>214</v>
      </c>
    </row>
    <row r="179" spans="2:24" ht="15.75" customHeight="1" outlineLevel="1" x14ac:dyDescent="0.25">
      <c r="C179" s="133" t="s">
        <v>87</v>
      </c>
      <c r="D179" s="46" t="s">
        <v>129</v>
      </c>
      <c r="E179" s="42"/>
      <c r="H179" s="139"/>
      <c r="I179" s="144">
        <f>I176*$F$48</f>
        <v>1014.3019999999996</v>
      </c>
      <c r="J179" s="144">
        <f t="shared" ref="J179:M179" si="111">J176*$F$48</f>
        <v>1065.0170999999996</v>
      </c>
      <c r="K179" s="144">
        <f t="shared" si="111"/>
        <v>1118.2679549999996</v>
      </c>
      <c r="L179" s="144">
        <f t="shared" si="111"/>
        <v>1174.1813527499996</v>
      </c>
      <c r="M179" s="144">
        <f t="shared" si="111"/>
        <v>1232.8904203874995</v>
      </c>
    </row>
    <row r="180" spans="2:24" ht="15.75" customHeight="1" outlineLevel="1" x14ac:dyDescent="0.25">
      <c r="C180" s="133"/>
      <c r="H180" s="139"/>
      <c r="I180" s="149"/>
      <c r="J180" s="149"/>
      <c r="K180" s="149"/>
      <c r="L180" s="149"/>
      <c r="M180" s="149"/>
      <c r="P180" s="3" t="s">
        <v>215</v>
      </c>
    </row>
    <row r="181" spans="2:24" ht="15.75" customHeight="1" outlineLevel="1" x14ac:dyDescent="0.25">
      <c r="C181" s="9" t="s">
        <v>39</v>
      </c>
      <c r="D181" s="9"/>
      <c r="E181" s="9"/>
      <c r="F181" s="9"/>
      <c r="G181" s="9"/>
      <c r="H181" s="9"/>
      <c r="I181" s="9"/>
      <c r="J181" s="9"/>
      <c r="K181" s="9"/>
      <c r="L181" s="9"/>
      <c r="M181" s="9"/>
    </row>
    <row r="182" spans="2:24" ht="15.75" customHeight="1" outlineLevel="1" x14ac:dyDescent="0.25">
      <c r="C182" s="133" t="s">
        <v>28</v>
      </c>
      <c r="D182" s="46" t="s">
        <v>129</v>
      </c>
      <c r="E182" s="42"/>
      <c r="H182" s="139"/>
      <c r="I182" s="144">
        <f>I158+I164+I165</f>
        <v>-3430.718647016357</v>
      </c>
      <c r="J182" s="144">
        <f t="shared" ref="J182:M182" si="112">J158+J164+J165</f>
        <v>-7209.0100340370327</v>
      </c>
      <c r="K182" s="144">
        <f t="shared" si="112"/>
        <v>-10003.658427402272</v>
      </c>
      <c r="L182" s="144">
        <f t="shared" si="112"/>
        <v>-11680.599802674235</v>
      </c>
      <c r="M182" s="144">
        <f t="shared" si="112"/>
        <v>-13891.777987270787</v>
      </c>
      <c r="P182" s="169" t="s">
        <v>217</v>
      </c>
    </row>
    <row r="183" spans="2:24" ht="15.75" customHeight="1" outlineLevel="1" x14ac:dyDescent="0.25">
      <c r="C183" s="133" t="s">
        <v>87</v>
      </c>
      <c r="D183" s="46" t="s">
        <v>129</v>
      </c>
      <c r="E183" s="42"/>
      <c r="H183" s="139"/>
      <c r="I183" s="144">
        <f>-I160-I167-I173-I179</f>
        <v>-4868.6495999999979</v>
      </c>
      <c r="J183" s="144">
        <f t="shared" ref="J183:M183" si="113">-J160-J167-J173-J179</f>
        <v>-4732.3456153544257</v>
      </c>
      <c r="K183" s="144">
        <f t="shared" si="113"/>
        <v>-4470.8972229004949</v>
      </c>
      <c r="L183" s="144">
        <f t="shared" si="113"/>
        <v>-4071.6021425704148</v>
      </c>
      <c r="M183" s="144">
        <f t="shared" si="113"/>
        <v>-3644.2170771536739</v>
      </c>
      <c r="P183" s="169" t="s">
        <v>218</v>
      </c>
    </row>
    <row r="184" spans="2:24" ht="15.75" customHeight="1" outlineLevel="1" x14ac:dyDescent="0.25">
      <c r="C184" s="133" t="s">
        <v>88</v>
      </c>
      <c r="D184" s="46" t="s">
        <v>129</v>
      </c>
      <c r="E184" s="42"/>
      <c r="H184" s="139"/>
      <c r="I184" s="144">
        <f>I183-I171-I177</f>
        <v>-6491.5327999999972</v>
      </c>
      <c r="J184" s="144">
        <f t="shared" ref="J184:M184" si="114">J183-J171-J177</f>
        <v>-6424.2013513544243</v>
      </c>
      <c r="K184" s="144">
        <f t="shared" si="114"/>
        <v>-6234.8089729804942</v>
      </c>
      <c r="L184" s="144">
        <f t="shared" si="114"/>
        <v>-5910.7966042528142</v>
      </c>
      <c r="M184" s="144">
        <f t="shared" si="114"/>
        <v>-5562.0709997415452</v>
      </c>
    </row>
    <row r="185" spans="2:24" ht="15.75" customHeight="1" outlineLevel="1" x14ac:dyDescent="0.25">
      <c r="C185" s="133" t="s">
        <v>98</v>
      </c>
      <c r="D185" s="46" t="s">
        <v>129</v>
      </c>
      <c r="E185" s="42"/>
      <c r="H185" s="139"/>
      <c r="I185" s="144">
        <f>I133*I148</f>
        <v>150</v>
      </c>
      <c r="J185" s="144">
        <f t="shared" ref="J185:M185" si="115">J133*J148</f>
        <v>200</v>
      </c>
      <c r="K185" s="144">
        <f t="shared" si="115"/>
        <v>250</v>
      </c>
      <c r="L185" s="144">
        <f t="shared" si="115"/>
        <v>335.789266626835</v>
      </c>
      <c r="M185" s="144">
        <f t="shared" si="115"/>
        <v>447.90878654679921</v>
      </c>
      <c r="O185" s="9" t="s">
        <v>219</v>
      </c>
      <c r="P185" s="9"/>
      <c r="Q185" s="9"/>
      <c r="R185" s="9"/>
      <c r="S185" s="9"/>
      <c r="T185" s="9"/>
      <c r="U185" s="9"/>
      <c r="V185" s="9"/>
      <c r="W185" s="9"/>
      <c r="X185" s="9"/>
    </row>
    <row r="187" spans="2:24" ht="15.75" customHeight="1" x14ac:dyDescent="0.25">
      <c r="B187" s="24"/>
      <c r="C187" s="25"/>
      <c r="D187" s="26"/>
      <c r="E187" s="15" t="str">
        <f>$E$91</f>
        <v>Historical</v>
      </c>
      <c r="F187" s="15"/>
      <c r="G187" s="16"/>
      <c r="H187" s="16"/>
      <c r="I187" s="17" t="str">
        <f>$I$91</f>
        <v>Projected</v>
      </c>
      <c r="J187" s="18"/>
      <c r="K187" s="16"/>
      <c r="L187" s="16"/>
      <c r="M187" s="16"/>
      <c r="P187" s="169" t="s">
        <v>220</v>
      </c>
    </row>
    <row r="188" spans="2:24" ht="15.75" customHeight="1" x14ac:dyDescent="0.25">
      <c r="B188" s="4" t="s">
        <v>102</v>
      </c>
      <c r="C188" s="5"/>
      <c r="D188" s="34" t="str">
        <f>$D$5</f>
        <v>Units:</v>
      </c>
      <c r="E188" s="1">
        <f>$E$92</f>
        <v>42825</v>
      </c>
      <c r="F188" s="1">
        <f>$F$92</f>
        <v>43190</v>
      </c>
      <c r="G188" s="1">
        <f>$G$92</f>
        <v>43555</v>
      </c>
      <c r="H188" s="2">
        <f>$H$92</f>
        <v>43921</v>
      </c>
      <c r="I188" s="61">
        <f>$I$92</f>
        <v>44286</v>
      </c>
      <c r="J188" s="1">
        <f>$J$92</f>
        <v>44651</v>
      </c>
      <c r="K188" s="1">
        <f>$K$92</f>
        <v>45016</v>
      </c>
      <c r="L188" s="1">
        <f>$L$92</f>
        <v>45382</v>
      </c>
      <c r="M188" s="1">
        <f>$M$92</f>
        <v>45747</v>
      </c>
      <c r="P188" s="169" t="s">
        <v>221</v>
      </c>
    </row>
    <row r="189" spans="2:24" ht="15.75" customHeight="1" outlineLevel="1" x14ac:dyDescent="0.25">
      <c r="H189" s="143"/>
    </row>
    <row r="190" spans="2:24" ht="15.75" customHeight="1" outlineLevel="1" x14ac:dyDescent="0.25">
      <c r="C190" s="130" t="s">
        <v>6</v>
      </c>
      <c r="D190" s="46" t="s">
        <v>53</v>
      </c>
      <c r="E190" s="46"/>
      <c r="H190" s="139"/>
      <c r="I190" s="165"/>
      <c r="J190" s="166"/>
      <c r="K190" s="166"/>
      <c r="L190" s="166"/>
      <c r="M190" s="166"/>
      <c r="P190" s="3" t="s">
        <v>222</v>
      </c>
    </row>
    <row r="191" spans="2:24" ht="15.75" customHeight="1" outlineLevel="1" x14ac:dyDescent="0.25">
      <c r="H191" s="139"/>
      <c r="P191" s="169" t="s">
        <v>223</v>
      </c>
    </row>
    <row r="192" spans="2:24" ht="15.75" customHeight="1" outlineLevel="1" x14ac:dyDescent="0.25">
      <c r="C192" s="3" t="s">
        <v>20</v>
      </c>
      <c r="D192" s="46" t="s">
        <v>129</v>
      </c>
      <c r="E192" s="42"/>
      <c r="H192" s="139"/>
      <c r="I192" s="175"/>
      <c r="J192" s="175"/>
      <c r="K192" s="175"/>
      <c r="L192" s="175"/>
      <c r="M192" s="175"/>
    </row>
    <row r="193" spans="3:24" ht="15.75" customHeight="1" outlineLevel="1" x14ac:dyDescent="0.25">
      <c r="C193" s="133" t="s">
        <v>47</v>
      </c>
      <c r="D193" s="43" t="s">
        <v>54</v>
      </c>
      <c r="E193" s="43"/>
      <c r="H193" s="139"/>
      <c r="I193" s="79"/>
      <c r="J193" s="79"/>
      <c r="K193" s="79"/>
      <c r="L193" s="79"/>
      <c r="M193" s="79"/>
      <c r="P193" s="185" t="s">
        <v>224</v>
      </c>
    </row>
    <row r="194" spans="3:24" ht="15.75" customHeight="1" outlineLevel="1" x14ac:dyDescent="0.25">
      <c r="C194" s="32" t="s">
        <v>49</v>
      </c>
      <c r="D194" s="46" t="s">
        <v>129</v>
      </c>
      <c r="E194" s="42"/>
      <c r="F194" s="143"/>
      <c r="G194" s="143"/>
      <c r="H194" s="143"/>
      <c r="I194" s="95"/>
      <c r="J194" s="95"/>
      <c r="K194" s="95"/>
      <c r="L194" s="95"/>
      <c r="M194" s="95"/>
    </row>
    <row r="195" spans="3:24" ht="15.75" customHeight="1" outlineLevel="1" x14ac:dyDescent="0.25">
      <c r="C195" s="138" t="s">
        <v>7</v>
      </c>
      <c r="D195" s="42" t="s">
        <v>129</v>
      </c>
      <c r="E195" s="42"/>
      <c r="F195" s="139"/>
      <c r="G195" s="139"/>
      <c r="H195" s="139"/>
      <c r="I195" s="163"/>
      <c r="J195" s="163"/>
      <c r="K195" s="163"/>
      <c r="L195" s="163"/>
      <c r="M195" s="163"/>
      <c r="P195" s="169" t="s">
        <v>225</v>
      </c>
    </row>
    <row r="196" spans="3:24" ht="15.75" customHeight="1" outlineLevel="1" x14ac:dyDescent="0.25">
      <c r="C196" s="133" t="s">
        <v>164</v>
      </c>
      <c r="D196" s="42" t="s">
        <v>129</v>
      </c>
      <c r="E196" s="42"/>
      <c r="F196" s="139"/>
      <c r="G196" s="139"/>
      <c r="H196" s="139"/>
      <c r="I196" s="163"/>
      <c r="J196" s="163"/>
      <c r="K196" s="163"/>
      <c r="L196" s="163"/>
      <c r="M196" s="163"/>
    </row>
    <row r="197" spans="3:24" ht="15.75" customHeight="1" outlineLevel="1" x14ac:dyDescent="0.25">
      <c r="C197" s="160" t="s">
        <v>165</v>
      </c>
      <c r="D197" s="43" t="s">
        <v>129</v>
      </c>
      <c r="E197" s="43"/>
      <c r="F197" s="159"/>
      <c r="G197" s="159"/>
      <c r="H197" s="159"/>
      <c r="I197" s="155"/>
      <c r="J197" s="155"/>
      <c r="K197" s="155"/>
      <c r="L197" s="155"/>
      <c r="M197" s="155"/>
      <c r="P197" s="169" t="s">
        <v>226</v>
      </c>
    </row>
    <row r="198" spans="3:24" ht="15.75" customHeight="1" outlineLevel="1" x14ac:dyDescent="0.25">
      <c r="C198" s="21" t="s">
        <v>48</v>
      </c>
      <c r="D198" s="46" t="s">
        <v>129</v>
      </c>
      <c r="E198" s="42"/>
      <c r="H198" s="139"/>
      <c r="I198" s="167"/>
      <c r="J198" s="167"/>
      <c r="K198" s="167"/>
      <c r="L198" s="167"/>
      <c r="M198" s="167"/>
    </row>
    <row r="199" spans="3:24" ht="15.75" customHeight="1" outlineLevel="1" x14ac:dyDescent="0.25">
      <c r="H199" s="139"/>
      <c r="O199" s="9" t="s">
        <v>227</v>
      </c>
      <c r="P199" s="9"/>
      <c r="Q199" s="9"/>
      <c r="R199" s="9"/>
      <c r="S199" s="9"/>
      <c r="T199" s="9"/>
      <c r="U199" s="9"/>
      <c r="V199" s="9"/>
      <c r="W199" s="9"/>
      <c r="X199" s="9"/>
    </row>
    <row r="200" spans="3:24" ht="15.75" customHeight="1" outlineLevel="1" x14ac:dyDescent="0.25">
      <c r="C200" s="9" t="s">
        <v>50</v>
      </c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</row>
    <row r="201" spans="3:24" ht="15.75" customHeight="1" outlineLevel="1" x14ac:dyDescent="0.25">
      <c r="C201" s="133" t="s">
        <v>52</v>
      </c>
      <c r="D201" s="42" t="s">
        <v>54</v>
      </c>
      <c r="E201" s="42"/>
      <c r="H201" s="139"/>
      <c r="I201" s="161"/>
      <c r="J201" s="161"/>
      <c r="K201" s="161"/>
      <c r="L201" s="161"/>
      <c r="M201" s="161"/>
      <c r="P201" s="169" t="s">
        <v>228</v>
      </c>
    </row>
    <row r="202" spans="3:24" ht="15.75" customHeight="1" outlineLevel="1" x14ac:dyDescent="0.25">
      <c r="C202" s="133" t="s">
        <v>51</v>
      </c>
      <c r="D202" s="46" t="s">
        <v>30</v>
      </c>
      <c r="E202" s="46"/>
      <c r="H202" s="139"/>
      <c r="I202" s="45"/>
      <c r="J202" s="45"/>
      <c r="K202" s="45"/>
      <c r="L202" s="45"/>
      <c r="M202" s="45"/>
      <c r="P202" s="169" t="s">
        <v>229</v>
      </c>
    </row>
    <row r="203" spans="3:24" ht="15.75" customHeight="1" outlineLevel="1" x14ac:dyDescent="0.25">
      <c r="H203" s="139"/>
    </row>
    <row r="204" spans="3:24" ht="15.75" customHeight="1" outlineLevel="1" x14ac:dyDescent="0.25">
      <c r="C204" s="9" t="s">
        <v>89</v>
      </c>
      <c r="D204" s="131"/>
      <c r="E204" s="131"/>
      <c r="F204" s="131"/>
      <c r="G204" s="131"/>
      <c r="H204" s="131"/>
      <c r="I204" s="131"/>
      <c r="J204" s="131"/>
      <c r="K204" s="131"/>
      <c r="L204" s="131"/>
      <c r="M204" s="131"/>
      <c r="P204" s="169" t="s">
        <v>230</v>
      </c>
    </row>
    <row r="205" spans="3:24" ht="15.75" customHeight="1" outlineLevel="1" x14ac:dyDescent="0.25">
      <c r="C205" s="133" t="s">
        <v>96</v>
      </c>
      <c r="D205" s="46" t="s">
        <v>129</v>
      </c>
      <c r="H205" s="139"/>
      <c r="I205" s="162"/>
      <c r="J205" s="162"/>
      <c r="K205" s="162"/>
      <c r="L205" s="162"/>
      <c r="M205" s="162"/>
    </row>
    <row r="206" spans="3:24" ht="15.75" customHeight="1" outlineLevel="1" x14ac:dyDescent="0.25">
      <c r="C206" s="133" t="s">
        <v>97</v>
      </c>
      <c r="D206" s="46" t="s">
        <v>129</v>
      </c>
      <c r="H206" s="139"/>
      <c r="I206" s="163"/>
      <c r="J206" s="163"/>
      <c r="K206" s="163"/>
      <c r="L206" s="163"/>
      <c r="M206" s="163"/>
      <c r="P206" s="169" t="s">
        <v>231</v>
      </c>
    </row>
    <row r="207" spans="3:24" ht="15.75" customHeight="1" outlineLevel="1" x14ac:dyDescent="0.25">
      <c r="C207" s="133" t="s">
        <v>100</v>
      </c>
      <c r="D207" s="43" t="s">
        <v>129</v>
      </c>
      <c r="H207" s="139"/>
      <c r="I207" s="163"/>
      <c r="J207" s="163"/>
      <c r="K207" s="163"/>
      <c r="L207" s="163"/>
      <c r="M207" s="163"/>
    </row>
    <row r="208" spans="3:24" ht="15.75" customHeight="1" outlineLevel="1" x14ac:dyDescent="0.25">
      <c r="C208" s="32" t="s">
        <v>101</v>
      </c>
      <c r="D208" s="46" t="s">
        <v>129</v>
      </c>
      <c r="E208" s="143"/>
      <c r="F208" s="143"/>
      <c r="G208" s="143"/>
      <c r="H208" s="143"/>
      <c r="I208" s="95"/>
      <c r="J208" s="95"/>
      <c r="K208" s="95"/>
      <c r="L208" s="95"/>
      <c r="M208" s="95"/>
      <c r="P208" s="169" t="s">
        <v>232</v>
      </c>
    </row>
    <row r="209" spans="2:16" ht="15.75" customHeight="1" outlineLevel="1" x14ac:dyDescent="0.25">
      <c r="H209" s="139"/>
      <c r="I209" s="148"/>
      <c r="J209" s="164"/>
      <c r="K209" s="164"/>
      <c r="L209" s="164"/>
      <c r="M209" s="164"/>
      <c r="P209" s="169" t="s">
        <v>233</v>
      </c>
    </row>
    <row r="210" spans="2:16" ht="15.75" customHeight="1" outlineLevel="1" x14ac:dyDescent="0.25">
      <c r="C210" s="3" t="s">
        <v>90</v>
      </c>
      <c r="D210" s="46" t="s">
        <v>129</v>
      </c>
      <c r="H210" s="139"/>
      <c r="I210" s="96"/>
      <c r="J210" s="96"/>
      <c r="K210" s="96"/>
      <c r="L210" s="96"/>
      <c r="M210" s="96"/>
    </row>
    <row r="211" spans="2:16" ht="15.75" customHeight="1" outlineLevel="1" x14ac:dyDescent="0.25">
      <c r="H211" s="139"/>
      <c r="P211" s="169" t="s">
        <v>234</v>
      </c>
    </row>
    <row r="212" spans="2:16" ht="15.75" customHeight="1" outlineLevel="1" x14ac:dyDescent="0.25">
      <c r="C212" s="9" t="s">
        <v>103</v>
      </c>
      <c r="D212" s="131"/>
      <c r="E212" s="131"/>
      <c r="F212" s="131"/>
      <c r="G212" s="131"/>
      <c r="H212" s="131"/>
      <c r="I212" s="131"/>
      <c r="J212" s="131"/>
      <c r="K212" s="131"/>
      <c r="L212" s="131"/>
      <c r="M212" s="131"/>
      <c r="P212" s="169" t="s">
        <v>235</v>
      </c>
    </row>
    <row r="213" spans="2:16" ht="15.75" customHeight="1" outlineLevel="1" x14ac:dyDescent="0.25">
      <c r="C213" s="133" t="s">
        <v>52</v>
      </c>
      <c r="D213" s="42" t="s">
        <v>54</v>
      </c>
      <c r="E213" s="42"/>
      <c r="H213" s="139"/>
      <c r="I213" s="161"/>
      <c r="J213" s="161"/>
      <c r="K213" s="161"/>
      <c r="L213" s="161"/>
      <c r="M213" s="161"/>
    </row>
    <row r="214" spans="2:16" ht="15.75" customHeight="1" outlineLevel="1" x14ac:dyDescent="0.25">
      <c r="C214" s="133" t="s">
        <v>51</v>
      </c>
      <c r="D214" s="46" t="s">
        <v>30</v>
      </c>
      <c r="E214" s="46"/>
      <c r="H214" s="139"/>
      <c r="I214" s="45"/>
      <c r="J214" s="45"/>
      <c r="K214" s="45"/>
      <c r="L214" s="45"/>
      <c r="M214" s="45"/>
    </row>
    <row r="216" spans="2:16" ht="15.75" customHeight="1" x14ac:dyDescent="0.25">
      <c r="B216" s="4" t="s">
        <v>104</v>
      </c>
      <c r="C216" s="5"/>
      <c r="D216" s="6"/>
      <c r="E216" s="6"/>
      <c r="F216" s="7"/>
      <c r="G216" s="7"/>
      <c r="H216" s="7"/>
      <c r="I216" s="7"/>
      <c r="J216" s="6"/>
      <c r="K216" s="7"/>
      <c r="L216" s="7"/>
      <c r="M216" s="7"/>
    </row>
    <row r="217" spans="2:16" ht="15.75" customHeight="1" outlineLevel="1" x14ac:dyDescent="0.25"/>
    <row r="218" spans="2:16" ht="15.75" customHeight="1" outlineLevel="1" x14ac:dyDescent="0.25">
      <c r="C218" s="47"/>
      <c r="D218" s="48"/>
      <c r="E218" s="49" t="str">
        <f>TEXT($M$52,"YYYY")&amp;" Exit EV / EBITDA Multiple:"</f>
        <v>2025 Exit EV / EBITDA Multiple:</v>
      </c>
      <c r="F218" s="49"/>
      <c r="G218" s="50"/>
      <c r="H218" s="50"/>
      <c r="I218" s="50"/>
      <c r="J218" s="50"/>
      <c r="K218" s="50"/>
      <c r="L218" s="50"/>
      <c r="M218" s="51"/>
    </row>
    <row r="219" spans="2:16" ht="15.75" customHeight="1" outlineLevel="1" x14ac:dyDescent="0.25">
      <c r="C219" s="52"/>
      <c r="D219" s="53"/>
      <c r="E219" s="73"/>
      <c r="F219" s="74"/>
      <c r="G219" s="74"/>
      <c r="H219" s="74"/>
      <c r="I219" s="74"/>
      <c r="J219" s="74"/>
      <c r="K219" s="75"/>
      <c r="L219" s="74"/>
      <c r="M219" s="76"/>
    </row>
    <row r="220" spans="2:16" ht="15.75" customHeight="1" outlineLevel="1" x14ac:dyDescent="0.25">
      <c r="C220" s="182" t="s">
        <v>95</v>
      </c>
      <c r="D220" s="68"/>
      <c r="E220" s="45"/>
      <c r="F220" s="45"/>
      <c r="G220" s="45"/>
      <c r="H220" s="45"/>
      <c r="I220" s="45"/>
      <c r="J220" s="45"/>
      <c r="K220" s="56"/>
      <c r="L220" s="45"/>
      <c r="M220" s="45"/>
      <c r="N220" s="54"/>
    </row>
    <row r="221" spans="2:16" ht="15.75" customHeight="1" outlineLevel="1" x14ac:dyDescent="0.25">
      <c r="C221" s="183"/>
      <c r="D221" s="69"/>
      <c r="E221" s="45"/>
      <c r="F221" s="45"/>
      <c r="G221" s="45"/>
      <c r="H221" s="45"/>
      <c r="I221" s="45"/>
      <c r="J221" s="45"/>
      <c r="K221" s="56"/>
      <c r="L221" s="45"/>
      <c r="M221" s="45"/>
      <c r="N221" s="54"/>
    </row>
    <row r="222" spans="2:16" ht="15.75" customHeight="1" outlineLevel="1" x14ac:dyDescent="0.25">
      <c r="C222" s="183"/>
      <c r="D222" s="69"/>
      <c r="E222" s="45"/>
      <c r="F222" s="45"/>
      <c r="G222" s="45"/>
      <c r="H222" s="45"/>
      <c r="I222" s="45"/>
      <c r="J222" s="45"/>
      <c r="K222" s="56"/>
      <c r="L222" s="45"/>
      <c r="M222" s="45"/>
      <c r="N222" s="54"/>
    </row>
    <row r="223" spans="2:16" ht="15.75" customHeight="1" outlineLevel="1" x14ac:dyDescent="0.25">
      <c r="C223" s="183"/>
      <c r="D223" s="69"/>
      <c r="E223" s="45"/>
      <c r="F223" s="45"/>
      <c r="G223" s="45"/>
      <c r="H223" s="45"/>
      <c r="I223" s="45"/>
      <c r="J223" s="45"/>
      <c r="K223" s="56"/>
      <c r="L223" s="45"/>
      <c r="M223" s="45"/>
      <c r="N223" s="54"/>
    </row>
    <row r="224" spans="2:16" ht="15.75" customHeight="1" outlineLevel="1" x14ac:dyDescent="0.25">
      <c r="C224" s="183"/>
      <c r="D224" s="71"/>
      <c r="E224" s="56"/>
      <c r="F224" s="56"/>
      <c r="G224" s="56"/>
      <c r="H224" s="56"/>
      <c r="I224" s="56"/>
      <c r="J224" s="56"/>
      <c r="K224" s="56"/>
      <c r="L224" s="56"/>
      <c r="M224" s="56"/>
      <c r="N224" s="55"/>
    </row>
    <row r="225" spans="2:14" ht="15.75" customHeight="1" outlineLevel="1" x14ac:dyDescent="0.25">
      <c r="C225" s="183"/>
      <c r="D225" s="69"/>
      <c r="E225" s="45"/>
      <c r="F225" s="45"/>
      <c r="G225" s="45"/>
      <c r="H225" s="45"/>
      <c r="I225" s="45"/>
      <c r="J225" s="45"/>
      <c r="K225" s="56"/>
      <c r="L225" s="45"/>
      <c r="M225" s="45"/>
      <c r="N225" s="54"/>
    </row>
    <row r="226" spans="2:14" ht="15.75" customHeight="1" outlineLevel="1" x14ac:dyDescent="0.25">
      <c r="C226" s="183"/>
      <c r="D226" s="69"/>
      <c r="E226" s="45"/>
      <c r="F226" s="45"/>
      <c r="G226" s="45"/>
      <c r="H226" s="45"/>
      <c r="I226" s="45"/>
      <c r="J226" s="45"/>
      <c r="K226" s="56"/>
      <c r="L226" s="45"/>
      <c r="M226" s="45"/>
      <c r="N226" s="54"/>
    </row>
    <row r="227" spans="2:14" ht="15.75" customHeight="1" outlineLevel="1" x14ac:dyDescent="0.25">
      <c r="C227" s="183"/>
      <c r="D227" s="69"/>
      <c r="E227" s="45"/>
      <c r="F227" s="45"/>
      <c r="G227" s="45"/>
      <c r="H227" s="45"/>
      <c r="I227" s="45"/>
      <c r="J227" s="45"/>
      <c r="K227" s="56"/>
      <c r="L227" s="45"/>
      <c r="M227" s="45"/>
      <c r="N227" s="54"/>
    </row>
    <row r="228" spans="2:14" ht="15.75" customHeight="1" outlineLevel="1" x14ac:dyDescent="0.25">
      <c r="C228" s="184"/>
      <c r="D228" s="70"/>
      <c r="E228" s="45"/>
      <c r="F228" s="45"/>
      <c r="G228" s="45"/>
      <c r="H228" s="45"/>
      <c r="I228" s="45"/>
      <c r="J228" s="45"/>
      <c r="K228" s="56"/>
      <c r="L228" s="45"/>
      <c r="M228" s="45"/>
      <c r="N228" s="54"/>
    </row>
    <row r="229" spans="2:14" ht="15.75" customHeight="1" x14ac:dyDescent="0.25">
      <c r="I229" s="169"/>
    </row>
    <row r="230" spans="2:14" ht="15.75" customHeight="1" x14ac:dyDescent="0.25">
      <c r="B230" s="24"/>
      <c r="C230" s="25"/>
      <c r="D230" s="26"/>
      <c r="E230" s="15" t="str">
        <f>$E$91</f>
        <v>Historical</v>
      </c>
      <c r="F230" s="15"/>
      <c r="G230" s="16"/>
      <c r="H230" s="16"/>
      <c r="I230" s="17" t="str">
        <f>$I$91</f>
        <v>Projected</v>
      </c>
      <c r="J230" s="18"/>
      <c r="K230" s="16"/>
      <c r="L230" s="16"/>
      <c r="M230" s="16"/>
    </row>
    <row r="231" spans="2:14" ht="15.75" customHeight="1" x14ac:dyDescent="0.25">
      <c r="B231" s="4" t="s">
        <v>55</v>
      </c>
      <c r="C231" s="5"/>
      <c r="D231" s="34" t="str">
        <f>+$D$52</f>
        <v>Units:</v>
      </c>
      <c r="E231" s="1">
        <f>$E$92</f>
        <v>42825</v>
      </c>
      <c r="F231" s="1">
        <f>$F$92</f>
        <v>43190</v>
      </c>
      <c r="G231" s="1">
        <f>$G$92</f>
        <v>43555</v>
      </c>
      <c r="H231" s="2">
        <f>$H$92</f>
        <v>43921</v>
      </c>
      <c r="I231" s="61">
        <f>$I$92</f>
        <v>44286</v>
      </c>
      <c r="J231" s="1">
        <f>$J$92</f>
        <v>44651</v>
      </c>
      <c r="K231" s="1">
        <f>$K$92</f>
        <v>45016</v>
      </c>
      <c r="L231" s="1">
        <f>$L$92</f>
        <v>45382</v>
      </c>
      <c r="M231" s="1">
        <f>$M$92</f>
        <v>45747</v>
      </c>
    </row>
    <row r="232" spans="2:14" ht="15.75" customHeight="1" outlineLevel="1" x14ac:dyDescent="0.25"/>
    <row r="233" spans="2:14" ht="15.75" customHeight="1" outlineLevel="1" x14ac:dyDescent="0.25">
      <c r="C233" s="9" t="s">
        <v>172</v>
      </c>
      <c r="D233" s="131"/>
      <c r="E233" s="131"/>
      <c r="F233" s="131"/>
      <c r="G233" s="131"/>
      <c r="H233" s="131"/>
      <c r="I233" s="131"/>
      <c r="J233" s="131"/>
      <c r="K233" s="131"/>
      <c r="L233" s="131"/>
      <c r="M233" s="131"/>
    </row>
    <row r="234" spans="2:14" ht="15.75" customHeight="1" outlineLevel="1" x14ac:dyDescent="0.25">
      <c r="C234" s="138" t="s">
        <v>56</v>
      </c>
      <c r="D234" s="46" t="s">
        <v>129</v>
      </c>
      <c r="E234" s="42"/>
      <c r="I234" s="179"/>
      <c r="J234" s="179"/>
      <c r="K234" s="179"/>
      <c r="L234" s="179"/>
      <c r="M234" s="179"/>
    </row>
    <row r="235" spans="2:14" ht="15.75" customHeight="1" outlineLevel="1" x14ac:dyDescent="0.25">
      <c r="C235" s="138" t="s">
        <v>57</v>
      </c>
      <c r="D235" s="46" t="s">
        <v>129</v>
      </c>
      <c r="E235" s="42"/>
      <c r="I235" s="163"/>
      <c r="J235" s="163"/>
      <c r="K235" s="163"/>
      <c r="L235" s="163"/>
      <c r="M235" s="163"/>
      <c r="N235" s="154"/>
    </row>
    <row r="236" spans="2:14" ht="15.75" customHeight="1" outlineLevel="1" x14ac:dyDescent="0.25">
      <c r="C236" s="160" t="s">
        <v>58</v>
      </c>
      <c r="D236" s="43" t="s">
        <v>129</v>
      </c>
      <c r="E236" s="43"/>
      <c r="F236" s="159"/>
      <c r="G236" s="159"/>
      <c r="H236" s="159"/>
      <c r="I236" s="163"/>
      <c r="J236" s="163"/>
      <c r="K236" s="163"/>
      <c r="L236" s="163"/>
      <c r="M236" s="163"/>
    </row>
    <row r="237" spans="2:14" ht="15.75" customHeight="1" outlineLevel="1" x14ac:dyDescent="0.25">
      <c r="C237" s="57" t="s">
        <v>59</v>
      </c>
      <c r="D237" s="46" t="s">
        <v>129</v>
      </c>
      <c r="E237" s="42"/>
      <c r="I237" s="95"/>
      <c r="J237" s="95"/>
      <c r="K237" s="95"/>
      <c r="L237" s="95"/>
      <c r="M237" s="95"/>
    </row>
    <row r="238" spans="2:14" ht="15.75" customHeight="1" outlineLevel="1" x14ac:dyDescent="0.25">
      <c r="I238" s="144"/>
    </row>
    <row r="239" spans="2:14" ht="15.75" customHeight="1" outlineLevel="1" x14ac:dyDescent="0.25">
      <c r="C239" s="9" t="s">
        <v>60</v>
      </c>
      <c r="D239" s="131"/>
      <c r="E239" s="131"/>
      <c r="F239" s="131"/>
      <c r="G239" s="131"/>
      <c r="H239" s="131"/>
      <c r="I239" s="131"/>
      <c r="J239" s="131"/>
      <c r="K239" s="131"/>
      <c r="L239" s="131"/>
      <c r="M239" s="131"/>
    </row>
    <row r="240" spans="2:14" ht="15.75" customHeight="1" outlineLevel="1" x14ac:dyDescent="0.25">
      <c r="C240" s="138" t="str">
        <f>+$C$234</f>
        <v>EBITDA Growth:</v>
      </c>
      <c r="D240" s="44" t="s">
        <v>30</v>
      </c>
      <c r="E240" s="46"/>
      <c r="I240" s="58"/>
      <c r="J240" s="58"/>
      <c r="K240" s="58"/>
      <c r="L240" s="58"/>
      <c r="M240" s="58"/>
    </row>
    <row r="241" spans="3:14" ht="15.75" customHeight="1" outlineLevel="1" x14ac:dyDescent="0.25">
      <c r="C241" s="138" t="str">
        <f>+$C$235</f>
        <v>Multiple Expansion:</v>
      </c>
      <c r="D241" s="44" t="s">
        <v>30</v>
      </c>
      <c r="E241" s="46"/>
      <c r="I241" s="58"/>
      <c r="J241" s="58"/>
      <c r="K241" s="58"/>
      <c r="L241" s="58"/>
      <c r="M241" s="58"/>
    </row>
    <row r="242" spans="3:14" ht="15.75" customHeight="1" outlineLevel="1" x14ac:dyDescent="0.25">
      <c r="C242" s="160" t="str">
        <f>+$C$236</f>
        <v>Debt Paydown and Cash Generation:</v>
      </c>
      <c r="D242" s="72" t="s">
        <v>30</v>
      </c>
      <c r="E242" s="43"/>
      <c r="F242" s="159"/>
      <c r="G242" s="159"/>
      <c r="H242" s="159"/>
      <c r="I242" s="59"/>
      <c r="J242" s="59"/>
      <c r="K242" s="59"/>
      <c r="L242" s="59"/>
      <c r="M242" s="59"/>
    </row>
    <row r="243" spans="3:14" ht="15.75" customHeight="1" outlineLevel="1" x14ac:dyDescent="0.25">
      <c r="C243" s="57" t="str">
        <f>+$C$237</f>
        <v>Total Equity Return:</v>
      </c>
      <c r="D243" s="44" t="s">
        <v>30</v>
      </c>
      <c r="E243" s="46"/>
      <c r="I243" s="60"/>
      <c r="J243" s="60"/>
      <c r="K243" s="60"/>
      <c r="L243" s="60"/>
      <c r="M243" s="60"/>
    </row>
    <row r="244" spans="3:14" ht="15.75" customHeight="1" outlineLevel="1" x14ac:dyDescent="0.25"/>
    <row r="245" spans="3:14" ht="15.75" customHeight="1" outlineLevel="1" x14ac:dyDescent="0.25">
      <c r="C245" s="9" t="s">
        <v>170</v>
      </c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</row>
    <row r="246" spans="3:14" ht="15.75" customHeight="1" outlineLevel="1" x14ac:dyDescent="0.25">
      <c r="C246" s="138" t="s">
        <v>94</v>
      </c>
      <c r="D246" s="46" t="s">
        <v>129</v>
      </c>
      <c r="E246" s="42"/>
      <c r="I246" s="163"/>
      <c r="J246" s="163"/>
      <c r="K246" s="163"/>
      <c r="L246" s="163"/>
      <c r="M246" s="163"/>
    </row>
    <row r="247" spans="3:14" ht="15.75" customHeight="1" outlineLevel="1" x14ac:dyDescent="0.25">
      <c r="C247" s="160" t="s">
        <v>168</v>
      </c>
      <c r="D247" s="43" t="s">
        <v>129</v>
      </c>
      <c r="E247" s="43"/>
      <c r="F247" s="159"/>
      <c r="G247" s="159"/>
      <c r="H247" s="159"/>
      <c r="I247" s="163"/>
      <c r="J247" s="163"/>
      <c r="K247" s="163"/>
      <c r="L247" s="163"/>
      <c r="M247" s="163"/>
    </row>
    <row r="248" spans="3:14" ht="15.75" customHeight="1" outlineLevel="1" x14ac:dyDescent="0.25">
      <c r="C248" s="57" t="s">
        <v>169</v>
      </c>
      <c r="D248" s="46" t="s">
        <v>129</v>
      </c>
      <c r="E248" s="42"/>
      <c r="I248" s="95"/>
      <c r="J248" s="95"/>
      <c r="K248" s="95"/>
      <c r="L248" s="95"/>
      <c r="M248" s="95"/>
    </row>
    <row r="249" spans="3:14" ht="15.75" customHeight="1" outlineLevel="1" x14ac:dyDescent="0.25">
      <c r="I249" s="167"/>
      <c r="J249" s="167"/>
      <c r="K249" s="167"/>
      <c r="L249" s="167"/>
      <c r="M249" s="167"/>
      <c r="N249" s="149"/>
    </row>
    <row r="250" spans="3:14" ht="15.75" customHeight="1" outlineLevel="1" x14ac:dyDescent="0.25">
      <c r="C250" s="9" t="s">
        <v>171</v>
      </c>
      <c r="D250" s="131"/>
      <c r="E250" s="131"/>
      <c r="F250" s="131"/>
      <c r="G250" s="131"/>
      <c r="H250" s="131"/>
      <c r="I250" s="131"/>
      <c r="J250" s="131"/>
      <c r="K250" s="131"/>
      <c r="L250" s="131"/>
      <c r="M250" s="131"/>
    </row>
    <row r="251" spans="3:14" ht="15.75" customHeight="1" outlineLevel="1" x14ac:dyDescent="0.25">
      <c r="C251" s="138" t="str">
        <f>+$C$246</f>
        <v>Volume Growth:</v>
      </c>
      <c r="D251" s="44" t="s">
        <v>30</v>
      </c>
      <c r="E251" s="46"/>
      <c r="I251" s="58"/>
      <c r="J251" s="58"/>
      <c r="K251" s="58"/>
      <c r="L251" s="58"/>
      <c r="M251" s="58"/>
    </row>
    <row r="252" spans="3:14" ht="15.75" customHeight="1" outlineLevel="1" x14ac:dyDescent="0.25">
      <c r="C252" s="160" t="str">
        <f>+$C$247</f>
        <v>Pricing Growth:</v>
      </c>
      <c r="D252" s="72" t="s">
        <v>30</v>
      </c>
      <c r="E252" s="43"/>
      <c r="F252" s="159"/>
      <c r="G252" s="159"/>
      <c r="H252" s="159"/>
      <c r="I252" s="59"/>
      <c r="J252" s="59"/>
      <c r="K252" s="59"/>
      <c r="L252" s="59"/>
      <c r="M252" s="59"/>
    </row>
    <row r="253" spans="3:14" ht="15.75" customHeight="1" outlineLevel="1" x14ac:dyDescent="0.25">
      <c r="C253" s="57" t="str">
        <f>+$C$248</f>
        <v>Long-Term Care Revenue Growth:</v>
      </c>
      <c r="D253" s="44" t="s">
        <v>30</v>
      </c>
      <c r="E253" s="46"/>
      <c r="I253" s="60"/>
      <c r="J253" s="60"/>
      <c r="K253" s="60"/>
      <c r="L253" s="60"/>
      <c r="M253" s="60"/>
    </row>
    <row r="255" spans="3:14" ht="15.75" customHeight="1" x14ac:dyDescent="0.25">
      <c r="J255" s="144"/>
      <c r="K255" s="144"/>
      <c r="L255" s="144"/>
      <c r="M255" s="144"/>
    </row>
  </sheetData>
  <mergeCells count="1">
    <mergeCell ref="C220:C228"/>
  </mergeCells>
  <pageMargins left="0.7" right="0.7" top="0.75" bottom="0.75" header="0.3" footer="0.3"/>
  <pageSetup scale="47" orientation="portrait" horizontalDpi="1200" verticalDpi="1200" r:id="rId1"/>
  <rowBreaks count="4" manualBreakCount="4">
    <brk id="50" max="13" man="1"/>
    <brk id="90" max="13" man="1"/>
    <brk id="137" max="13" man="1"/>
    <brk id="18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LBO_90_Minutes</vt:lpstr>
      <vt:lpstr>Company_Name</vt:lpstr>
      <vt:lpstr>Hist_Year</vt:lpstr>
      <vt:lpstr>LTM_EBITDA</vt:lpstr>
      <vt:lpstr>Mezz_Equity_Pct</vt:lpstr>
      <vt:lpstr>Mezz_Investment</vt:lpstr>
      <vt:lpstr>Mgmt_Option_Pool</vt:lpstr>
      <vt:lpstr>Min_Cash</vt:lpstr>
      <vt:lpstr>LBO_90_Minutes!Print_Area</vt:lpstr>
      <vt:lpstr>Purchase_Multiple</vt:lpstr>
      <vt:lpstr>Sponsor_Equity</vt:lpstr>
      <vt:lpstr>Units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BIWS</dc:creator>
  <cp:lastModifiedBy>Brian DeChesare</cp:lastModifiedBy>
  <cp:lastPrinted>2017-01-16T22:29:45Z</cp:lastPrinted>
  <dcterms:created xsi:type="dcterms:W3CDTF">2016-10-28T03:10:17Z</dcterms:created>
  <dcterms:modified xsi:type="dcterms:W3CDTF">2021-03-07T00:53:31Z</dcterms:modified>
</cp:coreProperties>
</file>