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Dropbox (BIWS)\BIWS-All-Courses\10-Fundamentals-2021-Revision\13-More-Complex-LBOs\13-13-Debt-Schedule-Part-3-Div-Recap\"/>
    </mc:Choice>
  </mc:AlternateContent>
  <xr:revisionPtr revIDLastSave="0" documentId="13_ncr:1_{E30CE742-F1D9-432B-ABF1-0BE6F0F9C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BO_4_Hours" sheetId="1" r:id="rId1"/>
    <sheet name="Fin_Projections" sheetId="2" r:id="rId2"/>
  </sheets>
  <definedNames>
    <definedName name="CapEx_per_Plant">Fin_Projections!$G$8</definedName>
    <definedName name="Circ_Ref">LBO_4_Hours!$L$24</definedName>
    <definedName name="Close_Date">LBO_4_Hours!$L$8</definedName>
    <definedName name="Company_Name">LBO_4_Hours!$E$7</definedName>
    <definedName name="Def_Liv_Intang">LBO_4_Hours!$K$76</definedName>
    <definedName name="Div_Recap_Multiple">LBO_4_Hours!$D$61</definedName>
    <definedName name="Div_Recap_Year">LBO_4_Hours!$D$62</definedName>
    <definedName name="Exit_Multiple">LBO_4_Hours!$L$20</definedName>
    <definedName name="Exit_Year">LBO_4_Hours!$L$13</definedName>
    <definedName name="Goodwill">LBO_4_Hours!$E$76</definedName>
    <definedName name="Goodwill_Amort_Pct">LBO_4_Hours!$E$78</definedName>
    <definedName name="Hist_Year">LBO_4_Hours!$E$8</definedName>
    <definedName name="Intang_Amort">LBO_4_Hours!$K$78</definedName>
    <definedName name="Investor_Equity">LBO_4_Hours!$D$43</definedName>
    <definedName name="Issuance_Fee_Amort_Period">LBO_4_Hours!$D$59</definedName>
    <definedName name="Issuance_Fee_Pct">LBO_4_Hours!$E$24</definedName>
    <definedName name="Issuance_Fees">LBO_4_Hours!$D$58</definedName>
    <definedName name="Lease_Value_per_Facility">Fin_Projections!$G$11</definedName>
    <definedName name="LTM_EBITDA">LBO_4_Hours!$E$12</definedName>
    <definedName name="Max_Revolver">LBO_4_Hours!$L$26</definedName>
    <definedName name="Mgmt_Tier_1_Multiple">LBO_4_Hours!$E$28</definedName>
    <definedName name="Mgmt_Tier_1_Pct">LBO_4_Hours!$E$31</definedName>
    <definedName name="Mgmt_Tier_2_Multiple">LBO_4_Hours!$E$29</definedName>
    <definedName name="Mgmt_Tier_2_Pct">LBO_4_Hours!$E$32</definedName>
    <definedName name="Min_WC">LBO_4_Hours!$L$22</definedName>
    <definedName name="OID">LBO_4_Hours!$I$58</definedName>
    <definedName name="OID_Amort_Period">LBO_4_Hours!$I$59</definedName>
    <definedName name="Plant_Constr_Time">Fin_Projections!$G$9</definedName>
    <definedName name="Plant_Depr_Period">Fin_Projections!$G$10</definedName>
    <definedName name="Post_Txn_Stub">LBO_4_Hours!$L$11</definedName>
    <definedName name="PPE_Depr">LBO_4_Hours!$K$69</definedName>
    <definedName name="PPE_Writeup">LBO_4_Hours!$K$67</definedName>
    <definedName name="Pre_Txn_Stub">LBO_4_Hours!$L$10</definedName>
    <definedName name="_xlnm.Print_Area" localSheetId="1">Fin_Projections!$A$1:$N$198</definedName>
    <definedName name="_xlnm.Print_Area" localSheetId="0">LBO_4_Hours!$A$1:$R$452</definedName>
    <definedName name="Purchase_Multiple">LBO_4_Hours!$E$11</definedName>
    <definedName name="Scenario">LBO_4_Hours!$L$7</definedName>
    <definedName name="Units">LBO_4_Hours!$E$9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8" i="1" l="1"/>
  <c r="Q206" i="1"/>
  <c r="P206" i="1"/>
  <c r="O206" i="1"/>
  <c r="N206" i="1"/>
  <c r="M206" i="1"/>
  <c r="N205" i="1"/>
  <c r="M205" i="1"/>
  <c r="L205" i="1"/>
  <c r="Q204" i="1"/>
  <c r="P204" i="1"/>
  <c r="O204" i="1"/>
  <c r="N204" i="1"/>
  <c r="M204" i="1"/>
  <c r="F209" i="1"/>
  <c r="L209" i="1" s="1"/>
  <c r="H208" i="1"/>
  <c r="G208" i="1"/>
  <c r="L208" i="1" s="1"/>
  <c r="H207" i="1"/>
  <c r="G207" i="1"/>
  <c r="O207" i="1" s="1"/>
  <c r="F206" i="1"/>
  <c r="L206" i="1" s="1"/>
  <c r="E206" i="1"/>
  <c r="F205" i="1"/>
  <c r="P205" i="1" s="1"/>
  <c r="E205" i="1"/>
  <c r="F204" i="1"/>
  <c r="L204" i="1" s="1"/>
  <c r="E204" i="1"/>
  <c r="F203" i="1"/>
  <c r="O203" i="1" s="1"/>
  <c r="E203" i="1"/>
  <c r="P208" i="1" l="1"/>
  <c r="Q208" i="1"/>
  <c r="L203" i="1"/>
  <c r="L207" i="1"/>
  <c r="N209" i="1"/>
  <c r="O208" i="1"/>
  <c r="M209" i="1"/>
  <c r="O209" i="1"/>
  <c r="P207" i="1"/>
  <c r="P209" i="1"/>
  <c r="N207" i="1"/>
  <c r="O205" i="1"/>
  <c r="P203" i="1"/>
  <c r="Q203" i="1"/>
  <c r="Q205" i="1"/>
  <c r="Q207" i="1"/>
  <c r="Q209" i="1"/>
  <c r="N208" i="1"/>
  <c r="M203" i="1"/>
  <c r="M207" i="1"/>
  <c r="N203" i="1"/>
  <c r="E75" i="1"/>
  <c r="J139" i="1" s="1"/>
  <c r="G127" i="1" l="1"/>
  <c r="N180" i="1"/>
  <c r="O180" i="1"/>
  <c r="P180" i="1"/>
  <c r="Q180" i="1"/>
  <c r="N181" i="1"/>
  <c r="O181" i="1"/>
  <c r="P181" i="1"/>
  <c r="Q181" i="1"/>
  <c r="M181" i="1"/>
  <c r="M180" i="1"/>
  <c r="M183" i="1" s="1"/>
  <c r="M182" i="1"/>
  <c r="N182" i="1" s="1"/>
  <c r="O182" i="1" s="1"/>
  <c r="P182" i="1" s="1"/>
  <c r="Q182" i="1" s="1"/>
  <c r="N179" i="1"/>
  <c r="O179" i="1" s="1"/>
  <c r="P179" i="1" s="1"/>
  <c r="Q179" i="1" s="1"/>
  <c r="M179" i="1"/>
  <c r="M177" i="1"/>
  <c r="N177" i="1" s="1"/>
  <c r="N171" i="1"/>
  <c r="O171" i="1"/>
  <c r="P171" i="1"/>
  <c r="Q171" i="1"/>
  <c r="N173" i="1"/>
  <c r="O173" i="1"/>
  <c r="P173" i="1"/>
  <c r="Q173" i="1"/>
  <c r="M173" i="1"/>
  <c r="M171" i="1"/>
  <c r="N164" i="1"/>
  <c r="M164" i="1"/>
  <c r="O158" i="1"/>
  <c r="N158" i="1"/>
  <c r="M158" i="1"/>
  <c r="Q157" i="1"/>
  <c r="M156" i="1"/>
  <c r="Q154" i="1"/>
  <c r="P154" i="1"/>
  <c r="O154" i="1"/>
  <c r="N155" i="1"/>
  <c r="O155" i="1"/>
  <c r="P155" i="1"/>
  <c r="Q155" i="1"/>
  <c r="M155" i="1"/>
  <c r="Q109" i="1"/>
  <c r="P109" i="1"/>
  <c r="O109" i="1"/>
  <c r="N109" i="1"/>
  <c r="N154" i="1" s="1"/>
  <c r="M109" i="1"/>
  <c r="M154" i="1" s="1"/>
  <c r="Q105" i="1"/>
  <c r="Q164" i="1" s="1"/>
  <c r="P105" i="1"/>
  <c r="P164" i="1" s="1"/>
  <c r="O105" i="1"/>
  <c r="O164" i="1" s="1"/>
  <c r="N105" i="1"/>
  <c r="M105" i="1"/>
  <c r="Q97" i="1"/>
  <c r="P97" i="1"/>
  <c r="O97" i="1"/>
  <c r="N97" i="1"/>
  <c r="M97" i="1"/>
  <c r="Q96" i="1"/>
  <c r="Q158" i="1" s="1"/>
  <c r="P96" i="1"/>
  <c r="P158" i="1" s="1"/>
  <c r="O96" i="1"/>
  <c r="N96" i="1"/>
  <c r="M96" i="1"/>
  <c r="Q95" i="1"/>
  <c r="P95" i="1"/>
  <c r="P157" i="1" s="1"/>
  <c r="O95" i="1"/>
  <c r="O157" i="1" s="1"/>
  <c r="N95" i="1"/>
  <c r="N157" i="1" s="1"/>
  <c r="M95" i="1"/>
  <c r="M157" i="1" s="1"/>
  <c r="Q94" i="1"/>
  <c r="Q156" i="1" s="1"/>
  <c r="P94" i="1"/>
  <c r="P156" i="1" s="1"/>
  <c r="O94" i="1"/>
  <c r="O156" i="1" s="1"/>
  <c r="N94" i="1"/>
  <c r="N156" i="1" s="1"/>
  <c r="M94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E183" i="1" s="1"/>
  <c r="G177" i="1"/>
  <c r="G183" i="1" s="1"/>
  <c r="F177" i="1"/>
  <c r="F183" i="1" s="1"/>
  <c r="E177" i="1"/>
  <c r="G173" i="1"/>
  <c r="F173" i="1"/>
  <c r="E173" i="1"/>
  <c r="G172" i="1"/>
  <c r="F172" i="1"/>
  <c r="E172" i="1"/>
  <c r="E174" i="1" s="1"/>
  <c r="G171" i="1"/>
  <c r="G174" i="1" s="1"/>
  <c r="F171" i="1"/>
  <c r="F174" i="1" s="1"/>
  <c r="E171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G168" i="1" s="1"/>
  <c r="F153" i="1"/>
  <c r="F168" i="1" s="1"/>
  <c r="E153" i="1"/>
  <c r="E168" i="1" s="1"/>
  <c r="F144" i="1"/>
  <c r="G144" i="1"/>
  <c r="E144" i="1"/>
  <c r="F135" i="1"/>
  <c r="G135" i="1"/>
  <c r="G146" i="1" s="1"/>
  <c r="E135" i="1"/>
  <c r="E146" i="1" s="1"/>
  <c r="G141" i="1"/>
  <c r="F141" i="1"/>
  <c r="E141" i="1"/>
  <c r="E142" i="1" s="1"/>
  <c r="G140" i="1"/>
  <c r="G142" i="1" s="1"/>
  <c r="F140" i="1"/>
  <c r="E140" i="1"/>
  <c r="G139" i="1"/>
  <c r="F139" i="1"/>
  <c r="E139" i="1"/>
  <c r="G138" i="1"/>
  <c r="F138" i="1"/>
  <c r="F142" i="1" s="1"/>
  <c r="E138" i="1"/>
  <c r="G134" i="1"/>
  <c r="F134" i="1"/>
  <c r="E134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F128" i="1" s="1"/>
  <c r="E122" i="1"/>
  <c r="E128" i="1" s="1"/>
  <c r="G118" i="1"/>
  <c r="F118" i="1"/>
  <c r="E118" i="1"/>
  <c r="G117" i="1"/>
  <c r="F117" i="1"/>
  <c r="E117" i="1"/>
  <c r="G116" i="1"/>
  <c r="G119" i="1" s="1"/>
  <c r="F116" i="1"/>
  <c r="F119" i="1" s="1"/>
  <c r="E116" i="1"/>
  <c r="E119" i="1" s="1"/>
  <c r="G109" i="1"/>
  <c r="F109" i="1"/>
  <c r="G107" i="1"/>
  <c r="F107" i="1"/>
  <c r="E109" i="1"/>
  <c r="E107" i="1"/>
  <c r="G105" i="1"/>
  <c r="F105" i="1"/>
  <c r="G104" i="1"/>
  <c r="F104" i="1"/>
  <c r="G98" i="1"/>
  <c r="F98" i="1"/>
  <c r="E105" i="1"/>
  <c r="E104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1" i="1"/>
  <c r="F91" i="1"/>
  <c r="G90" i="1"/>
  <c r="F90" i="1"/>
  <c r="E90" i="1"/>
  <c r="G89" i="1"/>
  <c r="F89" i="1"/>
  <c r="E89" i="1"/>
  <c r="G88" i="1"/>
  <c r="F88" i="1"/>
  <c r="E88" i="1"/>
  <c r="E91" i="1" s="1"/>
  <c r="E93" i="1" s="1"/>
  <c r="E106" i="1" s="1"/>
  <c r="E108" i="1" s="1"/>
  <c r="E110" i="1" s="1"/>
  <c r="G85" i="1"/>
  <c r="G93" i="1" s="1"/>
  <c r="G106" i="1" s="1"/>
  <c r="F85" i="1"/>
  <c r="F93" i="1" s="1"/>
  <c r="F106" i="1" s="1"/>
  <c r="E85" i="1"/>
  <c r="F146" i="1" l="1"/>
  <c r="E130" i="1"/>
  <c r="E148" i="1" s="1"/>
  <c r="F185" i="1"/>
  <c r="F130" i="1"/>
  <c r="F148" i="1" s="1"/>
  <c r="O177" i="1"/>
  <c r="N183" i="1"/>
  <c r="G185" i="1"/>
  <c r="E185" i="1"/>
  <c r="F108" i="1"/>
  <c r="F110" i="1" s="1"/>
  <c r="G108" i="1"/>
  <c r="G110" i="1" s="1"/>
  <c r="L20" i="1"/>
  <c r="L11" i="1"/>
  <c r="P8" i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E12" i="1"/>
  <c r="E14" i="1" l="1"/>
  <c r="K37" i="1" s="1"/>
  <c r="D42" i="1"/>
  <c r="K248" i="1" s="1"/>
  <c r="D40" i="1"/>
  <c r="K246" i="1" s="1"/>
  <c r="D39" i="1"/>
  <c r="K245" i="1" s="1"/>
  <c r="D38" i="1"/>
  <c r="K244" i="1" s="1"/>
  <c r="D41" i="1"/>
  <c r="D37" i="1"/>
  <c r="P177" i="1"/>
  <c r="O183" i="1"/>
  <c r="L26" i="1"/>
  <c r="L37" i="1"/>
  <c r="L171" i="1"/>
  <c r="L105" i="1"/>
  <c r="L164" i="1" s="1"/>
  <c r="L96" i="1"/>
  <c r="L158" i="1" s="1"/>
  <c r="L94" i="1"/>
  <c r="L156" i="1" s="1"/>
  <c r="L181" i="1"/>
  <c r="L97" i="1"/>
  <c r="L95" i="1"/>
  <c r="L157" i="1" s="1"/>
  <c r="L155" i="1"/>
  <c r="L109" i="1"/>
  <c r="L154" i="1" s="1"/>
  <c r="L173" i="1"/>
  <c r="L10" i="1"/>
  <c r="L180" i="1"/>
  <c r="I157" i="2"/>
  <c r="J157" i="2" s="1"/>
  <c r="K157" i="2" s="1"/>
  <c r="L157" i="2" s="1"/>
  <c r="M157" i="2" s="1"/>
  <c r="H157" i="2"/>
  <c r="J142" i="2"/>
  <c r="K142" i="2" s="1"/>
  <c r="L142" i="2" s="1"/>
  <c r="M142" i="2" s="1"/>
  <c r="I142" i="2"/>
  <c r="J141" i="2"/>
  <c r="K141" i="2" s="1"/>
  <c r="L141" i="2" s="1"/>
  <c r="M141" i="2" s="1"/>
  <c r="I141" i="2"/>
  <c r="I140" i="2"/>
  <c r="J140" i="2" s="1"/>
  <c r="K140" i="2" s="1"/>
  <c r="L140" i="2" s="1"/>
  <c r="M140" i="2" s="1"/>
  <c r="H143" i="2"/>
  <c r="H142" i="2"/>
  <c r="H141" i="2"/>
  <c r="H140" i="2"/>
  <c r="M194" i="2"/>
  <c r="L194" i="2"/>
  <c r="K194" i="2"/>
  <c r="J194" i="2"/>
  <c r="I194" i="2"/>
  <c r="M193" i="2"/>
  <c r="L193" i="2"/>
  <c r="K193" i="2"/>
  <c r="J193" i="2"/>
  <c r="I193" i="2"/>
  <c r="M192" i="2"/>
  <c r="L192" i="2"/>
  <c r="K192" i="2"/>
  <c r="J192" i="2"/>
  <c r="I192" i="2"/>
  <c r="M190" i="2"/>
  <c r="L190" i="2"/>
  <c r="K190" i="2"/>
  <c r="J190" i="2"/>
  <c r="I190" i="2"/>
  <c r="M189" i="2"/>
  <c r="L189" i="2"/>
  <c r="K189" i="2"/>
  <c r="J189" i="2"/>
  <c r="I189" i="2"/>
  <c r="H193" i="2"/>
  <c r="H192" i="2"/>
  <c r="H194" i="2"/>
  <c r="H190" i="2"/>
  <c r="H189" i="2"/>
  <c r="M185" i="2"/>
  <c r="L185" i="2"/>
  <c r="K185" i="2"/>
  <c r="J185" i="2"/>
  <c r="I185" i="2"/>
  <c r="M183" i="2"/>
  <c r="L183" i="2"/>
  <c r="K183" i="2"/>
  <c r="J183" i="2"/>
  <c r="I183" i="2"/>
  <c r="H185" i="2"/>
  <c r="H183" i="2"/>
  <c r="M176" i="2"/>
  <c r="L176" i="2"/>
  <c r="K176" i="2"/>
  <c r="J176" i="2"/>
  <c r="I176" i="2"/>
  <c r="M175" i="2"/>
  <c r="L175" i="2"/>
  <c r="K175" i="2"/>
  <c r="J175" i="2"/>
  <c r="I175" i="2"/>
  <c r="M174" i="2"/>
  <c r="L174" i="2"/>
  <c r="K174" i="2"/>
  <c r="J174" i="2"/>
  <c r="I174" i="2"/>
  <c r="M173" i="2"/>
  <c r="L173" i="2"/>
  <c r="K173" i="2"/>
  <c r="J173" i="2"/>
  <c r="I173" i="2"/>
  <c r="H176" i="2"/>
  <c r="H175" i="2"/>
  <c r="H174" i="2"/>
  <c r="H173" i="2"/>
  <c r="H172" i="2"/>
  <c r="H171" i="2"/>
  <c r="I126" i="2"/>
  <c r="I171" i="2" s="1"/>
  <c r="M122" i="2"/>
  <c r="L122" i="2"/>
  <c r="K122" i="2"/>
  <c r="J122" i="2"/>
  <c r="I122" i="2"/>
  <c r="M121" i="2"/>
  <c r="L121" i="2"/>
  <c r="K121" i="2"/>
  <c r="J121" i="2"/>
  <c r="I121" i="2"/>
  <c r="M119" i="2"/>
  <c r="L119" i="2"/>
  <c r="K119" i="2"/>
  <c r="J119" i="2"/>
  <c r="I119" i="2"/>
  <c r="M118" i="2"/>
  <c r="L118" i="2"/>
  <c r="K118" i="2"/>
  <c r="J118" i="2"/>
  <c r="I118" i="2"/>
  <c r="M117" i="2"/>
  <c r="L117" i="2"/>
  <c r="K117" i="2"/>
  <c r="J117" i="2"/>
  <c r="I117" i="2"/>
  <c r="M116" i="2"/>
  <c r="L116" i="2"/>
  <c r="K116" i="2"/>
  <c r="J116" i="2"/>
  <c r="I116" i="2"/>
  <c r="H126" i="2"/>
  <c r="H122" i="2"/>
  <c r="H121" i="2"/>
  <c r="H120" i="2"/>
  <c r="H119" i="2"/>
  <c r="H118" i="2"/>
  <c r="H117" i="2"/>
  <c r="H116" i="2"/>
  <c r="K247" i="1" l="1"/>
  <c r="I59" i="1"/>
  <c r="I58" i="1"/>
  <c r="K243" i="1"/>
  <c r="K249" i="1" s="1"/>
  <c r="D59" i="1"/>
  <c r="D58" i="1"/>
  <c r="Q177" i="1"/>
  <c r="Q183" i="1" s="1"/>
  <c r="P183" i="1"/>
  <c r="L183" i="1"/>
  <c r="I143" i="2"/>
  <c r="I172" i="2"/>
  <c r="K40" i="1" l="1"/>
  <c r="L100" i="1"/>
  <c r="L101" i="1"/>
  <c r="L160" i="1" s="1"/>
  <c r="J126" i="2"/>
  <c r="J171" i="2" s="1"/>
  <c r="J172" i="2" s="1"/>
  <c r="M101" i="1" l="1"/>
  <c r="L159" i="1"/>
  <c r="M100" i="1"/>
  <c r="L40" i="1"/>
  <c r="J138" i="1"/>
  <c r="J143" i="2"/>
  <c r="N100" i="1" l="1"/>
  <c r="O100" i="1"/>
  <c r="O159" i="1" s="1"/>
  <c r="M159" i="1"/>
  <c r="M160" i="1"/>
  <c r="N101" i="1"/>
  <c r="K126" i="2"/>
  <c r="N160" i="1" l="1"/>
  <c r="O101" i="1"/>
  <c r="N159" i="1"/>
  <c r="P100" i="1"/>
  <c r="P159" i="1" s="1"/>
  <c r="K171" i="2"/>
  <c r="Q100" i="1" l="1"/>
  <c r="Q159" i="1" s="1"/>
  <c r="P101" i="1"/>
  <c r="O160" i="1"/>
  <c r="K172" i="2"/>
  <c r="P160" i="1" l="1"/>
  <c r="Q101" i="1"/>
  <c r="Q160" i="1" s="1"/>
  <c r="K143" i="2"/>
  <c r="L126" i="2" l="1"/>
  <c r="L171" i="2" l="1"/>
  <c r="L172" i="2" l="1"/>
  <c r="L143" i="2"/>
  <c r="M126" i="2" l="1"/>
  <c r="M171" i="2" l="1"/>
  <c r="M172" i="2" l="1"/>
  <c r="M143" i="2"/>
  <c r="J102" i="2" l="1"/>
  <c r="K102" i="2" s="1"/>
  <c r="L102" i="2" s="1"/>
  <c r="M102" i="2" s="1"/>
  <c r="I102" i="2"/>
  <c r="H98" i="2"/>
  <c r="I98" i="2" s="1"/>
  <c r="J98" i="2" s="1"/>
  <c r="K98" i="2" s="1"/>
  <c r="L98" i="2" s="1"/>
  <c r="M98" i="2" s="1"/>
  <c r="I96" i="2"/>
  <c r="J96" i="2" s="1"/>
  <c r="K96" i="2" s="1"/>
  <c r="L96" i="2" s="1"/>
  <c r="M96" i="2" s="1"/>
  <c r="J95" i="2"/>
  <c r="K95" i="2" s="1"/>
  <c r="L95" i="2" s="1"/>
  <c r="M95" i="2" s="1"/>
  <c r="I95" i="2"/>
  <c r="H93" i="2"/>
  <c r="I93" i="2" s="1"/>
  <c r="J93" i="2" s="1"/>
  <c r="K93" i="2" s="1"/>
  <c r="L93" i="2" s="1"/>
  <c r="M93" i="2" s="1"/>
  <c r="H92" i="2"/>
  <c r="I92" i="2" s="1"/>
  <c r="J92" i="2" s="1"/>
  <c r="K92" i="2" s="1"/>
  <c r="L92" i="2" s="1"/>
  <c r="M92" i="2" s="1"/>
  <c r="J88" i="2"/>
  <c r="K88" i="2" s="1"/>
  <c r="L88" i="2" s="1"/>
  <c r="M88" i="2" s="1"/>
  <c r="J87" i="2"/>
  <c r="K87" i="2" s="1"/>
  <c r="L87" i="2" s="1"/>
  <c r="M87" i="2" s="1"/>
  <c r="J85" i="2"/>
  <c r="K85" i="2" s="1"/>
  <c r="L85" i="2" s="1"/>
  <c r="M85" i="2" s="1"/>
  <c r="I88" i="2"/>
  <c r="I87" i="2"/>
  <c r="I85" i="2"/>
  <c r="H88" i="2"/>
  <c r="H87" i="2"/>
  <c r="H85" i="2"/>
  <c r="F83" i="2"/>
  <c r="G83" i="2"/>
  <c r="F84" i="2"/>
  <c r="G84" i="2"/>
  <c r="F85" i="2"/>
  <c r="G85" i="2"/>
  <c r="F87" i="2"/>
  <c r="G87" i="2"/>
  <c r="F88" i="2"/>
  <c r="G88" i="2"/>
  <c r="F90" i="2"/>
  <c r="G90" i="2"/>
  <c r="F92" i="2"/>
  <c r="G92" i="2"/>
  <c r="F93" i="2"/>
  <c r="G93" i="2"/>
  <c r="G102" i="2"/>
  <c r="F102" i="2"/>
  <c r="G101" i="2"/>
  <c r="F101" i="2"/>
  <c r="E102" i="2"/>
  <c r="E101" i="2"/>
  <c r="F98" i="2"/>
  <c r="G98" i="2"/>
  <c r="E98" i="2"/>
  <c r="G96" i="2"/>
  <c r="F96" i="2"/>
  <c r="E96" i="2"/>
  <c r="G95" i="2"/>
  <c r="F95" i="2"/>
  <c r="E95" i="2"/>
  <c r="E93" i="2"/>
  <c r="E92" i="2"/>
  <c r="E90" i="2"/>
  <c r="E88" i="2"/>
  <c r="E87" i="2"/>
  <c r="E85" i="2"/>
  <c r="E84" i="2"/>
  <c r="E83" i="2"/>
  <c r="I61" i="2" l="1"/>
  <c r="J61" i="2" s="1"/>
  <c r="M65" i="2"/>
  <c r="L64" i="2"/>
  <c r="M64" i="2" s="1"/>
  <c r="K63" i="2"/>
  <c r="L63" i="2" s="1"/>
  <c r="M63" i="2" s="1"/>
  <c r="J62" i="2"/>
  <c r="H60" i="2"/>
  <c r="I60" i="2" s="1"/>
  <c r="I66" i="2" s="1"/>
  <c r="H78" i="2"/>
  <c r="I80" i="2"/>
  <c r="J80" i="2" s="1"/>
  <c r="K80" i="2" s="1"/>
  <c r="L80" i="2" s="1"/>
  <c r="M80" i="2" s="1"/>
  <c r="J79" i="2"/>
  <c r="K79" i="2" s="1"/>
  <c r="L79" i="2" s="1"/>
  <c r="M79" i="2" s="1"/>
  <c r="I79" i="2"/>
  <c r="I74" i="2"/>
  <c r="I75" i="2" s="1"/>
  <c r="J74" i="2"/>
  <c r="J75" i="2" s="1"/>
  <c r="K74" i="2"/>
  <c r="K75" i="2" s="1"/>
  <c r="L74" i="2"/>
  <c r="L75" i="2" s="1"/>
  <c r="M74" i="2"/>
  <c r="M75" i="2" s="1"/>
  <c r="H74" i="2"/>
  <c r="H75" i="2" s="1"/>
  <c r="J55" i="2"/>
  <c r="K55" i="2" s="1"/>
  <c r="L55" i="2" s="1"/>
  <c r="M55" i="2" s="1"/>
  <c r="I55" i="2"/>
  <c r="H55" i="2"/>
  <c r="I51" i="2"/>
  <c r="J51" i="2" s="1"/>
  <c r="K51" i="2" s="1"/>
  <c r="L51" i="2" s="1"/>
  <c r="M51" i="2" s="1"/>
  <c r="H51" i="2"/>
  <c r="I45" i="2"/>
  <c r="J45" i="2"/>
  <c r="K45" i="2" s="1"/>
  <c r="L45" i="2" s="1"/>
  <c r="M45" i="2" s="1"/>
  <c r="H45" i="2"/>
  <c r="G80" i="2"/>
  <c r="F80" i="2"/>
  <c r="E80" i="2"/>
  <c r="G79" i="2"/>
  <c r="F79" i="2"/>
  <c r="E79" i="2"/>
  <c r="G78" i="2"/>
  <c r="F78" i="2"/>
  <c r="E78" i="2"/>
  <c r="F74" i="2"/>
  <c r="G74" i="2"/>
  <c r="F75" i="2"/>
  <c r="G75" i="2"/>
  <c r="E75" i="2"/>
  <c r="E74" i="2"/>
  <c r="G72" i="2"/>
  <c r="F72" i="2"/>
  <c r="E72" i="2"/>
  <c r="G71" i="2"/>
  <c r="F71" i="2"/>
  <c r="E71" i="2"/>
  <c r="G70" i="2"/>
  <c r="F70" i="2"/>
  <c r="E70" i="2"/>
  <c r="G57" i="2"/>
  <c r="F57" i="2"/>
  <c r="E57" i="2"/>
  <c r="G55" i="2"/>
  <c r="F55" i="2"/>
  <c r="E55" i="2"/>
  <c r="G54" i="2"/>
  <c r="F54" i="2"/>
  <c r="G53" i="2"/>
  <c r="F53" i="2"/>
  <c r="E53" i="2"/>
  <c r="F51" i="2"/>
  <c r="G51" i="2"/>
  <c r="E51" i="2"/>
  <c r="G49" i="2"/>
  <c r="F49" i="2"/>
  <c r="G46" i="2"/>
  <c r="F46" i="2"/>
  <c r="G48" i="2"/>
  <c r="F48" i="2"/>
  <c r="E48" i="2"/>
  <c r="G45" i="2"/>
  <c r="F45" i="2"/>
  <c r="E45" i="2"/>
  <c r="G43" i="2"/>
  <c r="F43" i="2"/>
  <c r="E43" i="2"/>
  <c r="F28" i="2"/>
  <c r="G28" i="2"/>
  <c r="E28" i="2"/>
  <c r="G40" i="2"/>
  <c r="H40" i="2" s="1"/>
  <c r="I40" i="2" s="1"/>
  <c r="J40" i="2" s="1"/>
  <c r="K40" i="2" s="1"/>
  <c r="L40" i="2" s="1"/>
  <c r="M40" i="2" s="1"/>
  <c r="F40" i="2"/>
  <c r="E40" i="2"/>
  <c r="H43" i="2" l="1"/>
  <c r="I43" i="2" s="1"/>
  <c r="J43" i="2" s="1"/>
  <c r="K43" i="2" s="1"/>
  <c r="L43" i="2" s="1"/>
  <c r="M43" i="2" s="1"/>
  <c r="F41" i="2"/>
  <c r="G41" i="2"/>
  <c r="H66" i="2"/>
  <c r="H68" i="2" s="1"/>
  <c r="I68" i="2" s="1"/>
  <c r="K61" i="2"/>
  <c r="L61" i="2" s="1"/>
  <c r="K62" i="2"/>
  <c r="L62" i="2" s="1"/>
  <c r="J60" i="2"/>
  <c r="K60" i="2" s="1"/>
  <c r="J66" i="2" l="1"/>
  <c r="J68" i="2" s="1"/>
  <c r="K66" i="2"/>
  <c r="M61" i="2"/>
  <c r="M62" i="2"/>
  <c r="L60" i="2"/>
  <c r="M60" i="2" s="1"/>
  <c r="K68" i="2" l="1"/>
  <c r="M66" i="2"/>
  <c r="L66" i="2"/>
  <c r="L68" i="2" l="1"/>
  <c r="M68" i="2" s="1"/>
  <c r="G32" i="2" l="1"/>
  <c r="F32" i="2"/>
  <c r="F30" i="2"/>
  <c r="G30" i="2"/>
  <c r="E30" i="2"/>
  <c r="M26" i="2"/>
  <c r="L26" i="2"/>
  <c r="K26" i="2"/>
  <c r="J26" i="2"/>
  <c r="I26" i="2"/>
  <c r="H26" i="2"/>
  <c r="G24" i="2"/>
  <c r="F24" i="2"/>
  <c r="E24" i="2"/>
  <c r="M16" i="2"/>
  <c r="L16" i="2"/>
  <c r="K16" i="2"/>
  <c r="I13" i="2"/>
  <c r="J13" i="2" s="1"/>
  <c r="K13" i="2" s="1"/>
  <c r="L13" i="2" s="1"/>
  <c r="M13" i="2" s="1"/>
  <c r="H13" i="2"/>
  <c r="H83" i="1" l="1"/>
  <c r="C36" i="2"/>
  <c r="C35" i="2"/>
  <c r="C34" i="2"/>
  <c r="C33" i="2"/>
  <c r="C22" i="2"/>
  <c r="C21" i="2"/>
  <c r="C20" i="2"/>
  <c r="C19" i="2"/>
  <c r="H18" i="2" s="1"/>
  <c r="M32" i="2" l="1"/>
  <c r="M49" i="2" s="1"/>
  <c r="L32" i="2"/>
  <c r="L49" i="2" s="1"/>
  <c r="K32" i="2"/>
  <c r="K49" i="2" s="1"/>
  <c r="J32" i="2"/>
  <c r="J49" i="2" s="1"/>
  <c r="I32" i="2"/>
  <c r="I49" i="2" s="1"/>
  <c r="H32" i="2"/>
  <c r="M27" i="2"/>
  <c r="M28" i="2" s="1"/>
  <c r="J27" i="2"/>
  <c r="J28" i="2" s="1"/>
  <c r="L27" i="2"/>
  <c r="L28" i="2" s="1"/>
  <c r="H27" i="2"/>
  <c r="H28" i="2" s="1"/>
  <c r="K27" i="2"/>
  <c r="K28" i="2" s="1"/>
  <c r="I27" i="2"/>
  <c r="I28" i="2" s="1"/>
  <c r="C421" i="1"/>
  <c r="C448" i="1" s="1"/>
  <c r="L39" i="2" l="1"/>
  <c r="L110" i="2" s="1"/>
  <c r="P88" i="1" s="1"/>
  <c r="L111" i="2"/>
  <c r="H30" i="2"/>
  <c r="H49" i="2"/>
  <c r="H48" i="2" s="1"/>
  <c r="I111" i="2"/>
  <c r="I39" i="2"/>
  <c r="I110" i="2" s="1"/>
  <c r="M88" i="1" s="1"/>
  <c r="M39" i="2"/>
  <c r="M110" i="2" s="1"/>
  <c r="Q88" i="1" s="1"/>
  <c r="M111" i="2"/>
  <c r="K39" i="2"/>
  <c r="K110" i="2" s="1"/>
  <c r="O88" i="1" s="1"/>
  <c r="K111" i="2"/>
  <c r="H111" i="2"/>
  <c r="H39" i="2"/>
  <c r="H110" i="2" s="1"/>
  <c r="L88" i="1" s="1"/>
  <c r="J111" i="2"/>
  <c r="J39" i="2"/>
  <c r="J110" i="2" s="1"/>
  <c r="N88" i="1" s="1"/>
  <c r="I439" i="1"/>
  <c r="C439" i="1"/>
  <c r="I448" i="1"/>
  <c r="C428" i="1"/>
  <c r="K135" i="2" l="1"/>
  <c r="O89" i="1"/>
  <c r="H135" i="2"/>
  <c r="L89" i="1"/>
  <c r="M135" i="2"/>
  <c r="Q89" i="1"/>
  <c r="I135" i="2"/>
  <c r="M89" i="1"/>
  <c r="L135" i="2"/>
  <c r="P89" i="1"/>
  <c r="J135" i="2"/>
  <c r="N89" i="1"/>
  <c r="H112" i="2"/>
  <c r="I48" i="2"/>
  <c r="I30" i="2"/>
  <c r="H107" i="2"/>
  <c r="L85" i="1" s="1"/>
  <c r="D266" i="1"/>
  <c r="D265" i="1"/>
  <c r="D264" i="1"/>
  <c r="D263" i="1"/>
  <c r="D262" i="1"/>
  <c r="D261" i="1"/>
  <c r="C218" i="1"/>
  <c r="D257" i="1"/>
  <c r="L257" i="1" s="1"/>
  <c r="D256" i="1"/>
  <c r="L256" i="1" s="1"/>
  <c r="D255" i="1"/>
  <c r="L255" i="1" s="1"/>
  <c r="D254" i="1"/>
  <c r="L254" i="1" s="1"/>
  <c r="D253" i="1"/>
  <c r="L253" i="1" s="1"/>
  <c r="D252" i="1"/>
  <c r="L252" i="1" s="1"/>
  <c r="L258" i="1" l="1"/>
  <c r="H113" i="2"/>
  <c r="H115" i="2" s="1"/>
  <c r="H123" i="2" s="1"/>
  <c r="L90" i="1"/>
  <c r="L91" i="1" s="1"/>
  <c r="L93" i="1" s="1"/>
  <c r="H184" i="2"/>
  <c r="L172" i="1" s="1"/>
  <c r="L174" i="1" s="1"/>
  <c r="H144" i="2"/>
  <c r="L127" i="1" s="1"/>
  <c r="H178" i="2"/>
  <c r="L166" i="1" s="1"/>
  <c r="H134" i="2"/>
  <c r="L117" i="1" s="1"/>
  <c r="I107" i="2"/>
  <c r="M85" i="1" s="1"/>
  <c r="J30" i="2"/>
  <c r="J48" i="2"/>
  <c r="I112" i="2"/>
  <c r="C208" i="1"/>
  <c r="C207" i="1"/>
  <c r="C206" i="1"/>
  <c r="C205" i="1"/>
  <c r="C336" i="1" s="1"/>
  <c r="C204" i="1"/>
  <c r="C335" i="1" s="1"/>
  <c r="C203" i="1"/>
  <c r="C334" i="1" s="1"/>
  <c r="H152" i="1"/>
  <c r="C183" i="1"/>
  <c r="C182" i="1"/>
  <c r="C181" i="1"/>
  <c r="C180" i="1"/>
  <c r="C179" i="1"/>
  <c r="C178" i="1"/>
  <c r="C177" i="1"/>
  <c r="B176" i="1"/>
  <c r="C174" i="1"/>
  <c r="C173" i="1"/>
  <c r="C172" i="1"/>
  <c r="C171" i="1"/>
  <c r="B170" i="1"/>
  <c r="C168" i="1"/>
  <c r="C167" i="1"/>
  <c r="C166" i="1"/>
  <c r="C165" i="1"/>
  <c r="C164" i="1"/>
  <c r="C158" i="1"/>
  <c r="C157" i="1"/>
  <c r="C156" i="1"/>
  <c r="C155" i="1"/>
  <c r="C154" i="1"/>
  <c r="C153" i="1"/>
  <c r="G152" i="1"/>
  <c r="F152" i="1"/>
  <c r="E152" i="1"/>
  <c r="B152" i="1"/>
  <c r="C148" i="1"/>
  <c r="C146" i="1"/>
  <c r="C144" i="1"/>
  <c r="C142" i="1"/>
  <c r="C141" i="1"/>
  <c r="C140" i="1"/>
  <c r="C139" i="1"/>
  <c r="C138" i="1"/>
  <c r="C137" i="1"/>
  <c r="C135" i="1"/>
  <c r="C134" i="1"/>
  <c r="C133" i="1"/>
  <c r="C130" i="1"/>
  <c r="C128" i="1"/>
  <c r="C127" i="1"/>
  <c r="C126" i="1"/>
  <c r="C125" i="1"/>
  <c r="C124" i="1"/>
  <c r="C123" i="1"/>
  <c r="C122" i="1"/>
  <c r="C121" i="1"/>
  <c r="C119" i="1"/>
  <c r="C118" i="1"/>
  <c r="C117" i="1"/>
  <c r="C116" i="1"/>
  <c r="C115" i="1"/>
  <c r="C110" i="1"/>
  <c r="C109" i="1"/>
  <c r="C108" i="1"/>
  <c r="C107" i="1"/>
  <c r="C106" i="1"/>
  <c r="C105" i="1"/>
  <c r="C104" i="1"/>
  <c r="C97" i="1"/>
  <c r="C96" i="1"/>
  <c r="C95" i="1"/>
  <c r="C94" i="1"/>
  <c r="C93" i="1"/>
  <c r="C91" i="1"/>
  <c r="C90" i="1"/>
  <c r="C89" i="1"/>
  <c r="C88" i="1"/>
  <c r="C87" i="1"/>
  <c r="C85" i="1"/>
  <c r="B132" i="1"/>
  <c r="B114" i="1"/>
  <c r="J325" i="1"/>
  <c r="I325" i="1"/>
  <c r="M324" i="1"/>
  <c r="L324" i="1"/>
  <c r="I324" i="1"/>
  <c r="H324" i="1"/>
  <c r="J289" i="1"/>
  <c r="I289" i="1"/>
  <c r="M288" i="1"/>
  <c r="L288" i="1"/>
  <c r="I288" i="1"/>
  <c r="H288" i="1"/>
  <c r="J270" i="1"/>
  <c r="I270" i="1"/>
  <c r="M269" i="1"/>
  <c r="L269" i="1"/>
  <c r="I269" i="1"/>
  <c r="H269" i="1"/>
  <c r="J197" i="1"/>
  <c r="I197" i="1"/>
  <c r="M196" i="1"/>
  <c r="L196" i="1"/>
  <c r="I196" i="1"/>
  <c r="H196" i="1"/>
  <c r="J151" i="1"/>
  <c r="I151" i="1"/>
  <c r="M150" i="1"/>
  <c r="L150" i="1"/>
  <c r="I150" i="1"/>
  <c r="H150" i="1"/>
  <c r="J113" i="1"/>
  <c r="I113" i="1"/>
  <c r="M112" i="1"/>
  <c r="L112" i="1"/>
  <c r="I112" i="1"/>
  <c r="H112" i="1"/>
  <c r="K83" i="1"/>
  <c r="K151" i="1" s="1"/>
  <c r="H113" i="1"/>
  <c r="E82" i="1"/>
  <c r="E112" i="1" s="1"/>
  <c r="L192" i="1" l="1"/>
  <c r="L237" i="1"/>
  <c r="H158" i="2"/>
  <c r="H99" i="2"/>
  <c r="L238" i="1" s="1"/>
  <c r="H151" i="2"/>
  <c r="I113" i="2"/>
  <c r="I151" i="2" s="1"/>
  <c r="M90" i="1"/>
  <c r="M91" i="1" s="1"/>
  <c r="M93" i="1" s="1"/>
  <c r="I99" i="2"/>
  <c r="M238" i="1" s="1"/>
  <c r="I158" i="2"/>
  <c r="M141" i="1" s="1"/>
  <c r="J107" i="2"/>
  <c r="N85" i="1" s="1"/>
  <c r="K30" i="2"/>
  <c r="H179" i="2"/>
  <c r="L167" i="1" s="1"/>
  <c r="H139" i="2"/>
  <c r="H186" i="2"/>
  <c r="K48" i="2"/>
  <c r="J112" i="2"/>
  <c r="I134" i="2"/>
  <c r="M117" i="1" s="1"/>
  <c r="I184" i="2"/>
  <c r="I144" i="2"/>
  <c r="M127" i="1" s="1"/>
  <c r="I178" i="2"/>
  <c r="M166" i="1" s="1"/>
  <c r="I115" i="2"/>
  <c r="H124" i="2"/>
  <c r="H177" i="2" s="1"/>
  <c r="H156" i="2" s="1"/>
  <c r="C337" i="1"/>
  <c r="C340" i="1"/>
  <c r="C338" i="1"/>
  <c r="C341" i="1"/>
  <c r="C339" i="1"/>
  <c r="C343" i="1"/>
  <c r="C342" i="1"/>
  <c r="C221" i="1"/>
  <c r="C222" i="1"/>
  <c r="C213" i="1"/>
  <c r="C262" i="1"/>
  <c r="C214" i="1"/>
  <c r="C263" i="1"/>
  <c r="C215" i="1"/>
  <c r="C264" i="1"/>
  <c r="C265" i="1"/>
  <c r="C216" i="1"/>
  <c r="C266" i="1"/>
  <c r="C217" i="1"/>
  <c r="C212" i="1"/>
  <c r="C261" i="1"/>
  <c r="C253" i="1"/>
  <c r="C244" i="1"/>
  <c r="C254" i="1"/>
  <c r="C245" i="1"/>
  <c r="C255" i="1"/>
  <c r="C246" i="1"/>
  <c r="C247" i="1"/>
  <c r="C256" i="1"/>
  <c r="C248" i="1"/>
  <c r="C257" i="1"/>
  <c r="C243" i="1"/>
  <c r="C252" i="1"/>
  <c r="H289" i="1"/>
  <c r="H270" i="1"/>
  <c r="H325" i="1"/>
  <c r="H151" i="1"/>
  <c r="H197" i="1"/>
  <c r="K270" i="1"/>
  <c r="K289" i="1"/>
  <c r="K325" i="1"/>
  <c r="E196" i="1"/>
  <c r="E269" i="1"/>
  <c r="E288" i="1"/>
  <c r="E324" i="1"/>
  <c r="K197" i="1"/>
  <c r="K113" i="1"/>
  <c r="E150" i="1"/>
  <c r="I152" i="2" l="1"/>
  <c r="M134" i="1"/>
  <c r="M135" i="1" s="1"/>
  <c r="H152" i="2"/>
  <c r="L134" i="1"/>
  <c r="L135" i="1" s="1"/>
  <c r="H141" i="1"/>
  <c r="K141" i="1" s="1"/>
  <c r="L141" i="1"/>
  <c r="H134" i="1"/>
  <c r="I186" i="2"/>
  <c r="M172" i="1"/>
  <c r="M174" i="1" s="1"/>
  <c r="H125" i="2"/>
  <c r="H127" i="2" s="1"/>
  <c r="H170" i="2" s="1"/>
  <c r="H180" i="2" s="1"/>
  <c r="H101" i="2" s="1"/>
  <c r="H191" i="2" s="1"/>
  <c r="J113" i="2"/>
  <c r="J115" i="2" s="1"/>
  <c r="N90" i="1"/>
  <c r="N91" i="1" s="1"/>
  <c r="N93" i="1" s="1"/>
  <c r="I179" i="2"/>
  <c r="M167" i="1" s="1"/>
  <c r="L30" i="2"/>
  <c r="K107" i="2"/>
  <c r="O85" i="1" s="1"/>
  <c r="J184" i="2"/>
  <c r="J144" i="2"/>
  <c r="N127" i="1" s="1"/>
  <c r="J178" i="2"/>
  <c r="N166" i="1" s="1"/>
  <c r="J134" i="2"/>
  <c r="N117" i="1" s="1"/>
  <c r="L48" i="2"/>
  <c r="K112" i="2"/>
  <c r="H145" i="2"/>
  <c r="I139" i="2"/>
  <c r="C55" i="1"/>
  <c r="C54" i="1"/>
  <c r="C53" i="1"/>
  <c r="C50" i="1"/>
  <c r="B3" i="1"/>
  <c r="H135" i="1" l="1"/>
  <c r="K134" i="1"/>
  <c r="K135" i="1" s="1"/>
  <c r="H161" i="2"/>
  <c r="K113" i="2"/>
  <c r="K151" i="2" s="1"/>
  <c r="O134" i="1" s="1"/>
  <c r="O135" i="1" s="1"/>
  <c r="O90" i="1"/>
  <c r="O91" i="1" s="1"/>
  <c r="O93" i="1" s="1"/>
  <c r="J158" i="2"/>
  <c r="N141" i="1" s="1"/>
  <c r="J151" i="2"/>
  <c r="J99" i="2"/>
  <c r="N238" i="1" s="1"/>
  <c r="J186" i="2"/>
  <c r="N172" i="1"/>
  <c r="N174" i="1" s="1"/>
  <c r="K144" i="2"/>
  <c r="O127" i="1" s="1"/>
  <c r="K134" i="2"/>
  <c r="O117" i="1" s="1"/>
  <c r="K184" i="2"/>
  <c r="K178" i="2"/>
  <c r="O166" i="1" s="1"/>
  <c r="J139" i="2"/>
  <c r="I145" i="2"/>
  <c r="M48" i="2"/>
  <c r="M112" i="2" s="1"/>
  <c r="L112" i="2"/>
  <c r="M30" i="2"/>
  <c r="M107" i="2" s="1"/>
  <c r="Q85" i="1" s="1"/>
  <c r="L107" i="2"/>
  <c r="P85" i="1" s="1"/>
  <c r="H195" i="2"/>
  <c r="H197" i="2" s="1"/>
  <c r="H133" i="2" s="1"/>
  <c r="H155" i="2"/>
  <c r="D38" i="2"/>
  <c r="E32" i="2"/>
  <c r="F195" i="2"/>
  <c r="G195" i="2"/>
  <c r="E195" i="2"/>
  <c r="G186" i="2"/>
  <c r="F186" i="2"/>
  <c r="E186" i="2"/>
  <c r="G176" i="2"/>
  <c r="F176" i="2"/>
  <c r="E176" i="2"/>
  <c r="G175" i="2"/>
  <c r="F175" i="2"/>
  <c r="E175" i="2"/>
  <c r="G174" i="2"/>
  <c r="F174" i="2"/>
  <c r="E174" i="2"/>
  <c r="G173" i="2"/>
  <c r="F173" i="2"/>
  <c r="E173" i="2"/>
  <c r="G171" i="2"/>
  <c r="F171" i="2"/>
  <c r="E171" i="2"/>
  <c r="E159" i="2"/>
  <c r="E152" i="2"/>
  <c r="E145" i="2"/>
  <c r="E136" i="2"/>
  <c r="E113" i="2"/>
  <c r="H129" i="2"/>
  <c r="F152" i="2"/>
  <c r="F159" i="2"/>
  <c r="F145" i="2"/>
  <c r="F136" i="2"/>
  <c r="G159" i="2"/>
  <c r="G152" i="2"/>
  <c r="G136" i="2"/>
  <c r="G113" i="2"/>
  <c r="F113" i="2"/>
  <c r="B2" i="1"/>
  <c r="B2" i="2"/>
  <c r="D168" i="2"/>
  <c r="J152" i="2" l="1"/>
  <c r="N134" i="1"/>
  <c r="N135" i="1" s="1"/>
  <c r="K115" i="2"/>
  <c r="K99" i="2"/>
  <c r="O238" i="1" s="1"/>
  <c r="K152" i="2"/>
  <c r="L113" i="2"/>
  <c r="L115" i="2" s="1"/>
  <c r="P90" i="1"/>
  <c r="P91" i="1" s="1"/>
  <c r="P93" i="1" s="1"/>
  <c r="M113" i="2"/>
  <c r="M99" i="2" s="1"/>
  <c r="Q238" i="1" s="1"/>
  <c r="Q90" i="1"/>
  <c r="Q91" i="1" s="1"/>
  <c r="Q93" i="1" s="1"/>
  <c r="K186" i="2"/>
  <c r="O172" i="1"/>
  <c r="O174" i="1" s="1"/>
  <c r="K158" i="2"/>
  <c r="J179" i="2"/>
  <c r="N167" i="1" s="1"/>
  <c r="J145" i="2"/>
  <c r="K139" i="2"/>
  <c r="H136" i="2"/>
  <c r="H147" i="2" s="1"/>
  <c r="I78" i="2"/>
  <c r="I120" i="2" s="1"/>
  <c r="I123" i="2" s="1"/>
  <c r="H159" i="2"/>
  <c r="H163" i="2" s="1"/>
  <c r="L184" i="2"/>
  <c r="L178" i="2"/>
  <c r="P166" i="1" s="1"/>
  <c r="L134" i="2"/>
  <c r="P117" i="1" s="1"/>
  <c r="L144" i="2"/>
  <c r="P127" i="1" s="1"/>
  <c r="M184" i="2"/>
  <c r="M134" i="2"/>
  <c r="Q117" i="1" s="1"/>
  <c r="M144" i="2"/>
  <c r="Q127" i="1" s="1"/>
  <c r="M178" i="2"/>
  <c r="Q166" i="1" s="1"/>
  <c r="F115" i="2"/>
  <c r="G115" i="2"/>
  <c r="E115" i="2"/>
  <c r="F147" i="2"/>
  <c r="F161" i="2" s="1"/>
  <c r="E147" i="2"/>
  <c r="E161" i="2" s="1"/>
  <c r="K179" i="2" l="1"/>
  <c r="O167" i="1" s="1"/>
  <c r="O141" i="1"/>
  <c r="L99" i="2"/>
  <c r="P238" i="1" s="1"/>
  <c r="L151" i="2"/>
  <c r="L158" i="2"/>
  <c r="P141" i="1" s="1"/>
  <c r="M151" i="2"/>
  <c r="M115" i="2"/>
  <c r="M158" i="2"/>
  <c r="Q141" i="1" s="1"/>
  <c r="L186" i="2"/>
  <c r="P172" i="1"/>
  <c r="P174" i="1" s="1"/>
  <c r="M186" i="2"/>
  <c r="Q172" i="1"/>
  <c r="Q174" i="1" s="1"/>
  <c r="I124" i="2"/>
  <c r="I177" i="2" s="1"/>
  <c r="I156" i="2" s="1"/>
  <c r="H165" i="2"/>
  <c r="L139" i="2"/>
  <c r="K145" i="2"/>
  <c r="E163" i="2"/>
  <c r="E165" i="2" s="1"/>
  <c r="F163" i="2"/>
  <c r="F165" i="2" s="1"/>
  <c r="G123" i="2"/>
  <c r="E123" i="2"/>
  <c r="F123" i="2"/>
  <c r="D130" i="2"/>
  <c r="D105" i="2"/>
  <c r="D6" i="2"/>
  <c r="H167" i="2"/>
  <c r="E167" i="2"/>
  <c r="E129" i="2"/>
  <c r="H104" i="2"/>
  <c r="E104" i="2"/>
  <c r="G6" i="2"/>
  <c r="L152" i="2" l="1"/>
  <c r="P134" i="1"/>
  <c r="P135" i="1" s="1"/>
  <c r="M152" i="2"/>
  <c r="Q134" i="1"/>
  <c r="Q135" i="1" s="1"/>
  <c r="L179" i="2"/>
  <c r="P167" i="1" s="1"/>
  <c r="M179" i="2"/>
  <c r="Q167" i="1" s="1"/>
  <c r="I125" i="2"/>
  <c r="I127" i="2" s="1"/>
  <c r="I170" i="2" s="1"/>
  <c r="I161" i="2" s="1"/>
  <c r="L145" i="2"/>
  <c r="M139" i="2"/>
  <c r="M145" i="2" s="1"/>
  <c r="F125" i="2"/>
  <c r="F127" i="2" s="1"/>
  <c r="F170" i="2" s="1"/>
  <c r="E125" i="2"/>
  <c r="E127" i="2" s="1"/>
  <c r="E170" i="2" s="1"/>
  <c r="G125" i="2"/>
  <c r="G83" i="1"/>
  <c r="L83" i="1" s="1"/>
  <c r="G127" i="2"/>
  <c r="G170" i="2" s="1"/>
  <c r="G105" i="2"/>
  <c r="F6" i="2"/>
  <c r="F83" i="1" s="1"/>
  <c r="G168" i="2"/>
  <c r="G38" i="2"/>
  <c r="G82" i="2"/>
  <c r="G130" i="2"/>
  <c r="H6" i="2"/>
  <c r="H130" i="2" s="1"/>
  <c r="I180" i="2" l="1"/>
  <c r="I101" i="2" s="1"/>
  <c r="I191" i="2" s="1"/>
  <c r="I195" i="2" s="1"/>
  <c r="I197" i="2" s="1"/>
  <c r="I133" i="2" s="1"/>
  <c r="I136" i="2" s="1"/>
  <c r="I147" i="2" s="1"/>
  <c r="F180" i="2"/>
  <c r="F197" i="2" s="1"/>
  <c r="G180" i="2"/>
  <c r="G197" i="2" s="1"/>
  <c r="E180" i="2"/>
  <c r="E197" i="2" s="1"/>
  <c r="F197" i="1"/>
  <c r="F325" i="1"/>
  <c r="F289" i="1"/>
  <c r="F270" i="1"/>
  <c r="G197" i="1"/>
  <c r="G289" i="1"/>
  <c r="G270" i="1"/>
  <c r="G325" i="1"/>
  <c r="F151" i="1"/>
  <c r="F113" i="1"/>
  <c r="G151" i="1"/>
  <c r="G113" i="1"/>
  <c r="F82" i="2"/>
  <c r="F130" i="2"/>
  <c r="F38" i="2"/>
  <c r="F168" i="2"/>
  <c r="F105" i="2"/>
  <c r="E6" i="2"/>
  <c r="E83" i="1" s="1"/>
  <c r="H82" i="2"/>
  <c r="H38" i="2"/>
  <c r="H105" i="2"/>
  <c r="H168" i="2"/>
  <c r="I6" i="2"/>
  <c r="I130" i="2" s="1"/>
  <c r="I155" i="2" l="1"/>
  <c r="I159" i="2" s="1"/>
  <c r="I163" i="2" s="1"/>
  <c r="I165" i="2" s="1"/>
  <c r="L197" i="1"/>
  <c r="L270" i="1"/>
  <c r="L325" i="1"/>
  <c r="L289" i="1"/>
  <c r="E197" i="1"/>
  <c r="E270" i="1"/>
  <c r="E325" i="1"/>
  <c r="E289" i="1"/>
  <c r="M83" i="1"/>
  <c r="L151" i="1"/>
  <c r="L113" i="1"/>
  <c r="E113" i="1"/>
  <c r="E151" i="1"/>
  <c r="I105" i="2"/>
  <c r="I38" i="2"/>
  <c r="J6" i="2"/>
  <c r="J130" i="2" s="1"/>
  <c r="I82" i="2"/>
  <c r="I168" i="2"/>
  <c r="E105" i="2"/>
  <c r="E130" i="2"/>
  <c r="E82" i="2"/>
  <c r="E38" i="2"/>
  <c r="E168" i="2"/>
  <c r="J78" i="2" l="1"/>
  <c r="J120" i="2" s="1"/>
  <c r="J123" i="2" s="1"/>
  <c r="J124" i="2" s="1"/>
  <c r="J177" i="2" s="1"/>
  <c r="J156" i="2" s="1"/>
  <c r="M197" i="1"/>
  <c r="M270" i="1"/>
  <c r="M325" i="1"/>
  <c r="M289" i="1"/>
  <c r="N83" i="1"/>
  <c r="M113" i="1"/>
  <c r="M151" i="1"/>
  <c r="J38" i="2"/>
  <c r="J105" i="2"/>
  <c r="J168" i="2"/>
  <c r="J82" i="2"/>
  <c r="K6" i="2"/>
  <c r="K130" i="2" s="1"/>
  <c r="J125" i="2" l="1"/>
  <c r="J127" i="2" s="1"/>
  <c r="J170" i="2" s="1"/>
  <c r="J180" i="2" s="1"/>
  <c r="J101" i="2" s="1"/>
  <c r="J191" i="2" s="1"/>
  <c r="N197" i="1"/>
  <c r="N270" i="1"/>
  <c r="N289" i="1"/>
  <c r="N325" i="1"/>
  <c r="O83" i="1"/>
  <c r="N151" i="1"/>
  <c r="N113" i="1"/>
  <c r="K168" i="2"/>
  <c r="K105" i="2"/>
  <c r="L6" i="2"/>
  <c r="K82" i="2"/>
  <c r="K38" i="2"/>
  <c r="J161" i="2" l="1"/>
  <c r="J195" i="2"/>
  <c r="J197" i="2" s="1"/>
  <c r="J133" i="2" s="1"/>
  <c r="J136" i="2" s="1"/>
  <c r="J147" i="2" s="1"/>
  <c r="J155" i="2"/>
  <c r="O197" i="1"/>
  <c r="O270" i="1"/>
  <c r="O325" i="1"/>
  <c r="O289" i="1"/>
  <c r="P83" i="1"/>
  <c r="O151" i="1"/>
  <c r="O113" i="1"/>
  <c r="M6" i="2"/>
  <c r="M82" i="2" s="1"/>
  <c r="L130" i="2"/>
  <c r="L168" i="2"/>
  <c r="L82" i="2"/>
  <c r="L38" i="2"/>
  <c r="L105" i="2"/>
  <c r="K5" i="1"/>
  <c r="D325" i="1"/>
  <c r="D289" i="1"/>
  <c r="D270" i="1"/>
  <c r="D197" i="1"/>
  <c r="D151" i="1"/>
  <c r="D113" i="1"/>
  <c r="D83" i="1"/>
  <c r="J159" i="2" l="1"/>
  <c r="J163" i="2" s="1"/>
  <c r="J165" i="2" s="1"/>
  <c r="K78" i="2"/>
  <c r="K120" i="2" s="1"/>
  <c r="K123" i="2" s="1"/>
  <c r="P197" i="1"/>
  <c r="P325" i="1"/>
  <c r="P289" i="1"/>
  <c r="P270" i="1"/>
  <c r="Q83" i="1"/>
  <c r="P113" i="1"/>
  <c r="P151" i="1"/>
  <c r="M38" i="2"/>
  <c r="M105" i="2"/>
  <c r="M168" i="2"/>
  <c r="M130" i="2"/>
  <c r="K124" i="2" l="1"/>
  <c r="K177" i="2" s="1"/>
  <c r="K156" i="2" s="1"/>
  <c r="Q197" i="1"/>
  <c r="Q325" i="1"/>
  <c r="Q289" i="1"/>
  <c r="Q270" i="1"/>
  <c r="Q113" i="1"/>
  <c r="Q151" i="1"/>
  <c r="K125" i="2" l="1"/>
  <c r="K127" i="2" s="1"/>
  <c r="K170" i="2" s="1"/>
  <c r="K180" i="2" s="1"/>
  <c r="K101" i="2" s="1"/>
  <c r="K191" i="2" s="1"/>
  <c r="K71" i="1"/>
  <c r="K66" i="1"/>
  <c r="E66" i="1"/>
  <c r="K161" i="2" l="1"/>
  <c r="K195" i="2"/>
  <c r="K197" i="2" s="1"/>
  <c r="K133" i="2" s="1"/>
  <c r="K136" i="2" s="1"/>
  <c r="K147" i="2" s="1"/>
  <c r="K155" i="2"/>
  <c r="K36" i="1"/>
  <c r="L78" i="2" l="1"/>
  <c r="L120" i="2" s="1"/>
  <c r="L123" i="2" s="1"/>
  <c r="K159" i="2"/>
  <c r="K163" i="2" s="1"/>
  <c r="K165" i="2" s="1"/>
  <c r="C51" i="1"/>
  <c r="L124" i="2" l="1"/>
  <c r="L177" i="2" s="1"/>
  <c r="L156" i="2" s="1"/>
  <c r="C52" i="1"/>
  <c r="L125" i="2" l="1"/>
  <c r="L127" i="2" s="1"/>
  <c r="L170" i="2" s="1"/>
  <c r="L180" i="2" s="1"/>
  <c r="L101" i="2" s="1"/>
  <c r="L191" i="2" s="1"/>
  <c r="G145" i="2"/>
  <c r="G147" i="2" s="1"/>
  <c r="L161" i="2" l="1"/>
  <c r="L195" i="2"/>
  <c r="L197" i="2" s="1"/>
  <c r="L133" i="2" s="1"/>
  <c r="L136" i="2" s="1"/>
  <c r="L147" i="2" s="1"/>
  <c r="L155" i="2"/>
  <c r="G161" i="2"/>
  <c r="M78" i="2" l="1"/>
  <c r="M120" i="2" s="1"/>
  <c r="M123" i="2" s="1"/>
  <c r="L159" i="2"/>
  <c r="L163" i="2" s="1"/>
  <c r="L165" i="2" s="1"/>
  <c r="G163" i="2"/>
  <c r="G165" i="2" s="1"/>
  <c r="M124" i="2" l="1"/>
  <c r="M177" i="2" s="1"/>
  <c r="M156" i="2" s="1"/>
  <c r="M125" i="2" l="1"/>
  <c r="M127" i="2" s="1"/>
  <c r="M170" i="2" s="1"/>
  <c r="M180" i="2" s="1"/>
  <c r="M101" i="2" s="1"/>
  <c r="M191" i="2" s="1"/>
  <c r="M161" i="2" l="1"/>
  <c r="M195" i="2"/>
  <c r="M197" i="2" s="1"/>
  <c r="M133" i="2" s="1"/>
  <c r="M136" i="2" s="1"/>
  <c r="M147" i="2" s="1"/>
  <c r="M155" i="2"/>
  <c r="M159" i="2" s="1"/>
  <c r="H85" i="1"/>
  <c r="H88" i="1"/>
  <c r="H89" i="1"/>
  <c r="H90" i="1"/>
  <c r="H94" i="1"/>
  <c r="H95" i="1"/>
  <c r="H96" i="1"/>
  <c r="H97" i="1"/>
  <c r="H98" i="1"/>
  <c r="H104" i="1"/>
  <c r="H105" i="1"/>
  <c r="H107" i="1"/>
  <c r="H109" i="1"/>
  <c r="H117" i="1"/>
  <c r="K117" i="1" s="1"/>
  <c r="H118" i="1"/>
  <c r="H127" i="1"/>
  <c r="K127" i="1" s="1"/>
  <c r="G128" i="1"/>
  <c r="G130" i="1" s="1"/>
  <c r="G148" i="1" s="1"/>
  <c r="H153" i="1"/>
  <c r="H154" i="1"/>
  <c r="H155" i="1"/>
  <c r="H156" i="1"/>
  <c r="H157" i="1"/>
  <c r="H125" i="1" s="1"/>
  <c r="H158" i="1"/>
  <c r="H164" i="1"/>
  <c r="H124" i="1" s="1"/>
  <c r="H165" i="1"/>
  <c r="H139" i="1" s="1"/>
  <c r="H166" i="1"/>
  <c r="H167" i="1"/>
  <c r="H171" i="1"/>
  <c r="H172" i="1"/>
  <c r="H173" i="1"/>
  <c r="H177" i="1"/>
  <c r="H178" i="1"/>
  <c r="H179" i="1"/>
  <c r="H138" i="1" s="1"/>
  <c r="H180" i="1"/>
  <c r="H181" i="1"/>
  <c r="H182" i="1"/>
  <c r="H122" i="1" l="1"/>
  <c r="E17" i="1"/>
  <c r="I138" i="1"/>
  <c r="K138" i="1"/>
  <c r="K67" i="1"/>
  <c r="E69" i="1"/>
  <c r="J124" i="1" s="1"/>
  <c r="E74" i="1"/>
  <c r="I139" i="1" s="1"/>
  <c r="K139" i="1" s="1"/>
  <c r="L139" i="1" s="1"/>
  <c r="M139" i="1" s="1"/>
  <c r="N139" i="1" s="1"/>
  <c r="O139" i="1" s="1"/>
  <c r="P139" i="1" s="1"/>
  <c r="Q139" i="1" s="1"/>
  <c r="K38" i="1"/>
  <c r="H91" i="1"/>
  <c r="H93" i="1" s="1"/>
  <c r="H106" i="1" s="1"/>
  <c r="H108" i="1" s="1"/>
  <c r="H110" i="1" s="1"/>
  <c r="H174" i="1"/>
  <c r="M163" i="2"/>
  <c r="M165" i="2" s="1"/>
  <c r="H183" i="1"/>
  <c r="H140" i="1"/>
  <c r="H168" i="1"/>
  <c r="H144" i="1"/>
  <c r="H126" i="1"/>
  <c r="K126" i="1" s="1"/>
  <c r="L126" i="1" s="1"/>
  <c r="M126" i="1" s="1"/>
  <c r="N126" i="1" s="1"/>
  <c r="O126" i="1" s="1"/>
  <c r="P126" i="1" s="1"/>
  <c r="Q126" i="1" s="1"/>
  <c r="H123" i="1"/>
  <c r="K123" i="1" s="1"/>
  <c r="L123" i="1" s="1"/>
  <c r="M123" i="1" s="1"/>
  <c r="N123" i="1" s="1"/>
  <c r="O123" i="1" s="1"/>
  <c r="P123" i="1" s="1"/>
  <c r="Q123" i="1" s="1"/>
  <c r="I118" i="1" l="1"/>
  <c r="K118" i="1" s="1"/>
  <c r="L118" i="1"/>
  <c r="O118" i="1"/>
  <c r="N118" i="1"/>
  <c r="Q118" i="1"/>
  <c r="P118" i="1"/>
  <c r="M118" i="1"/>
  <c r="H185" i="1"/>
  <c r="H116" i="1" s="1"/>
  <c r="H119" i="1" s="1"/>
  <c r="I122" i="1"/>
  <c r="K122" i="1" s="1"/>
  <c r="K69" i="1"/>
  <c r="L103" i="1" s="1"/>
  <c r="L162" i="1" s="1"/>
  <c r="E72" i="1"/>
  <c r="E68" i="1"/>
  <c r="I144" i="1" s="1"/>
  <c r="H142" i="1"/>
  <c r="H146" i="1" s="1"/>
  <c r="K140" i="1"/>
  <c r="L38" i="1"/>
  <c r="H128" i="1"/>
  <c r="E15" i="1" l="1"/>
  <c r="E18" i="1" s="1"/>
  <c r="J116" i="1"/>
  <c r="K116" i="1" s="1"/>
  <c r="K142" i="1"/>
  <c r="L140" i="1"/>
  <c r="M103" i="1"/>
  <c r="M162" i="1" s="1"/>
  <c r="K119" i="1"/>
  <c r="L187" i="1"/>
  <c r="L233" i="1" s="1"/>
  <c r="L122" i="1"/>
  <c r="K39" i="1"/>
  <c r="L39" i="1" s="1"/>
  <c r="L41" i="1" s="1"/>
  <c r="E67" i="1"/>
  <c r="E70" i="1" s="1"/>
  <c r="H130" i="1"/>
  <c r="H148" i="1" s="1"/>
  <c r="N103" i="1" l="1"/>
  <c r="M140" i="1"/>
  <c r="M122" i="1"/>
  <c r="K41" i="1"/>
  <c r="D43" i="1" s="1"/>
  <c r="J144" i="1" s="1"/>
  <c r="K144" i="1" s="1"/>
  <c r="K72" i="1"/>
  <c r="E43" i="1" l="1"/>
  <c r="E44" i="1" s="1"/>
  <c r="D44" i="1"/>
  <c r="F43" i="1" s="1"/>
  <c r="N140" i="1"/>
  <c r="K146" i="1"/>
  <c r="N162" i="1"/>
  <c r="N122" i="1" s="1"/>
  <c r="O103" i="1"/>
  <c r="K74" i="1"/>
  <c r="K76" i="1"/>
  <c r="F41" i="1"/>
  <c r="F40" i="1"/>
  <c r="F42" i="1" l="1"/>
  <c r="F39" i="1"/>
  <c r="F37" i="1"/>
  <c r="F38" i="1"/>
  <c r="P103" i="1"/>
  <c r="O162" i="1"/>
  <c r="O122" i="1" s="1"/>
  <c r="K78" i="1"/>
  <c r="L102" i="1"/>
  <c r="O140" i="1"/>
  <c r="E73" i="1"/>
  <c r="I125" i="1" s="1"/>
  <c r="K125" i="1" s="1"/>
  <c r="F44" i="1" l="1"/>
  <c r="E76" i="1"/>
  <c r="I124" i="1" s="1"/>
  <c r="K124" i="1" s="1"/>
  <c r="K128" i="1" s="1"/>
  <c r="K130" i="1" s="1"/>
  <c r="K148" i="1" s="1"/>
  <c r="L161" i="1"/>
  <c r="L125" i="1" s="1"/>
  <c r="M102" i="1"/>
  <c r="Q103" i="1"/>
  <c r="Q162" i="1" s="1"/>
  <c r="P162" i="1"/>
  <c r="P122" i="1" s="1"/>
  <c r="P140" i="1"/>
  <c r="L124" i="1" l="1"/>
  <c r="L128" i="1" s="1"/>
  <c r="Q122" i="1"/>
  <c r="M161" i="1"/>
  <c r="M125" i="1" s="1"/>
  <c r="Q140" i="1"/>
  <c r="N102" i="1"/>
  <c r="O102" i="1" s="1"/>
  <c r="M124" i="1" l="1"/>
  <c r="N124" i="1" s="1"/>
  <c r="P102" i="1"/>
  <c r="O161" i="1"/>
  <c r="N161" i="1"/>
  <c r="N125" i="1" s="1"/>
  <c r="O125" i="1" s="1"/>
  <c r="M128" i="1" l="1"/>
  <c r="Q102" i="1"/>
  <c r="P161" i="1"/>
  <c r="P125" i="1" s="1"/>
  <c r="O124" i="1"/>
  <c r="N128" i="1"/>
  <c r="Q161" i="1" l="1"/>
  <c r="Q125" i="1" s="1"/>
  <c r="P124" i="1"/>
  <c r="O128" i="1"/>
  <c r="Q124" i="1" l="1"/>
  <c r="Q128" i="1" s="1"/>
  <c r="P128" i="1"/>
  <c r="L212" i="1"/>
  <c r="L213" i="1"/>
  <c r="L214" i="1"/>
  <c r="L215" i="1"/>
  <c r="L216" i="1"/>
  <c r="L217" i="1"/>
  <c r="L218" i="1"/>
  <c r="L104" i="1" s="1"/>
  <c r="L221" i="1"/>
  <c r="L222" i="1"/>
  <c r="L230" i="1"/>
  <c r="L226" i="1" s="1"/>
  <c r="L223" i="1" l="1"/>
  <c r="L163" i="1" s="1"/>
  <c r="L98" i="1"/>
  <c r="L219" i="1"/>
  <c r="L227" i="1"/>
  <c r="L228" i="1" s="1"/>
  <c r="L99" i="1" s="1"/>
  <c r="L106" i="1" s="1"/>
  <c r="L107" i="1" l="1"/>
  <c r="L108" i="1"/>
  <c r="L110" i="1" s="1"/>
  <c r="L153" i="1" s="1"/>
  <c r="L144" i="1" l="1"/>
  <c r="L168" i="1"/>
  <c r="L185" i="1" s="1"/>
  <c r="L188" i="1" s="1"/>
  <c r="L234" i="1" l="1"/>
  <c r="L239" i="1" s="1"/>
  <c r="L240" i="1" l="1"/>
  <c r="L191" i="1" l="1"/>
  <c r="L261" i="1"/>
  <c r="L262" i="1"/>
  <c r="L244" i="1" s="1"/>
  <c r="L263" i="1" l="1"/>
  <c r="M213" i="1"/>
  <c r="M253" i="1"/>
  <c r="L243" i="1"/>
  <c r="L264" i="1"/>
  <c r="L246" i="1" s="1"/>
  <c r="M215" i="1" l="1"/>
  <c r="M255" i="1"/>
  <c r="L245" i="1"/>
  <c r="M230" i="1"/>
  <c r="M212" i="1"/>
  <c r="M252" i="1"/>
  <c r="L265" i="1"/>
  <c r="L247" i="1" s="1"/>
  <c r="M256" i="1" l="1"/>
  <c r="M216" i="1"/>
  <c r="M221" i="1"/>
  <c r="L266" i="1"/>
  <c r="L248" i="1" s="1"/>
  <c r="L249" i="1" s="1"/>
  <c r="M214" i="1"/>
  <c r="M254" i="1"/>
  <c r="M226" i="1"/>
  <c r="M227" i="1"/>
  <c r="L267" i="1" l="1"/>
  <c r="L193" i="1" s="1"/>
  <c r="M217" i="1"/>
  <c r="M222" i="1"/>
  <c r="M223" i="1" s="1"/>
  <c r="M163" i="1" s="1"/>
  <c r="M257" i="1"/>
  <c r="M258" i="1" s="1"/>
  <c r="L138" i="1"/>
  <c r="L194" i="1"/>
  <c r="M98" i="1"/>
  <c r="M228" i="1"/>
  <c r="M99" i="1" s="1"/>
  <c r="L116" i="1" l="1"/>
  <c r="M187" i="1"/>
  <c r="M192" i="1"/>
  <c r="M237" i="1"/>
  <c r="L142" i="1"/>
  <c r="L146" i="1" s="1"/>
  <c r="M233" i="1" l="1"/>
  <c r="L119" i="1"/>
  <c r="L130" i="1" s="1"/>
  <c r="L148" i="1" s="1"/>
  <c r="M218" i="1"/>
  <c r="M104" i="1" l="1"/>
  <c r="M106" i="1" s="1"/>
  <c r="M219" i="1"/>
  <c r="M107" i="1" l="1"/>
  <c r="M108" i="1" s="1"/>
  <c r="M110" i="1" s="1"/>
  <c r="M153" i="1" s="1"/>
  <c r="M168" i="1" l="1"/>
  <c r="M185" i="1" s="1"/>
  <c r="M188" i="1" s="1"/>
  <c r="M144" i="1"/>
  <c r="M234" i="1" l="1"/>
  <c r="M239" i="1" s="1"/>
  <c r="M240" i="1" l="1"/>
  <c r="M261" i="1" s="1"/>
  <c r="M262" i="1" s="1"/>
  <c r="M244" i="1" l="1"/>
  <c r="M263" i="1"/>
  <c r="M245" i="1" s="1"/>
  <c r="M264" i="1"/>
  <c r="M246" i="1" s="1"/>
  <c r="M191" i="1"/>
  <c r="M243" i="1"/>
  <c r="N212" i="1" l="1"/>
  <c r="N230" i="1"/>
  <c r="N252" i="1"/>
  <c r="N255" i="1"/>
  <c r="N215" i="1"/>
  <c r="M265" i="1"/>
  <c r="M247" i="1" s="1"/>
  <c r="N214" i="1"/>
  <c r="N254" i="1"/>
  <c r="N213" i="1"/>
  <c r="N253" i="1"/>
  <c r="N256" i="1" l="1"/>
  <c r="N216" i="1"/>
  <c r="N221" i="1"/>
  <c r="N226" i="1"/>
  <c r="N227" i="1"/>
  <c r="M266" i="1"/>
  <c r="M248" i="1" s="1"/>
  <c r="M249" i="1" s="1"/>
  <c r="M267" i="1" l="1"/>
  <c r="M193" i="1" s="1"/>
  <c r="M138" i="1" s="1"/>
  <c r="N257" i="1"/>
  <c r="N258" i="1" s="1"/>
  <c r="N217" i="1"/>
  <c r="N98" i="1" s="1"/>
  <c r="N222" i="1"/>
  <c r="N223" i="1" s="1"/>
  <c r="N163" i="1" s="1"/>
  <c r="N228" i="1"/>
  <c r="N99" i="1" s="1"/>
  <c r="M194" i="1" l="1"/>
  <c r="M116" i="1" s="1"/>
  <c r="M142" i="1"/>
  <c r="M146" i="1" s="1"/>
  <c r="N237" i="1"/>
  <c r="N192" i="1"/>
  <c r="N187" i="1" l="1"/>
  <c r="N233" i="1" s="1"/>
  <c r="M119" i="1"/>
  <c r="M130" i="1" s="1"/>
  <c r="M148" i="1" s="1"/>
  <c r="N218" i="1"/>
  <c r="N104" i="1" l="1"/>
  <c r="N106" i="1" s="1"/>
  <c r="N219" i="1"/>
  <c r="N107" i="1" l="1"/>
  <c r="N108" i="1" s="1"/>
  <c r="N110" i="1" s="1"/>
  <c r="N153" i="1" s="1"/>
  <c r="N168" i="1" l="1"/>
  <c r="N185" i="1" s="1"/>
  <c r="N188" i="1" s="1"/>
  <c r="N144" i="1"/>
  <c r="N234" i="1" l="1"/>
  <c r="N239" i="1" s="1"/>
  <c r="N240" i="1" l="1"/>
  <c r="N261" i="1" s="1"/>
  <c r="N262" i="1" s="1"/>
  <c r="N244" i="1" l="1"/>
  <c r="N263" i="1"/>
  <c r="N245" i="1" s="1"/>
  <c r="N191" i="1"/>
  <c r="N243" i="1"/>
  <c r="O254" i="1" l="1"/>
  <c r="O214" i="1"/>
  <c r="O252" i="1"/>
  <c r="O212" i="1"/>
  <c r="O230" i="1"/>
  <c r="N264" i="1"/>
  <c r="N265" i="1" s="1"/>
  <c r="N247" i="1" s="1"/>
  <c r="O253" i="1"/>
  <c r="O213" i="1"/>
  <c r="O226" i="1" l="1"/>
  <c r="O227" i="1"/>
  <c r="N266" i="1"/>
  <c r="N248" i="1" s="1"/>
  <c r="O256" i="1"/>
  <c r="O216" i="1"/>
  <c r="O221" i="1"/>
  <c r="N246" i="1"/>
  <c r="O257" i="1" l="1"/>
  <c r="O217" i="1"/>
  <c r="O222" i="1"/>
  <c r="O223" i="1"/>
  <c r="O163" i="1" s="1"/>
  <c r="O228" i="1"/>
  <c r="O99" i="1" s="1"/>
  <c r="N267" i="1"/>
  <c r="N193" i="1" s="1"/>
  <c r="O215" i="1"/>
  <c r="O255" i="1"/>
  <c r="N249" i="1"/>
  <c r="N194" i="1" l="1"/>
  <c r="N138" i="1"/>
  <c r="O98" i="1"/>
  <c r="O258" i="1"/>
  <c r="O237" i="1" l="1"/>
  <c r="O192" i="1"/>
  <c r="N142" i="1"/>
  <c r="N146" i="1" s="1"/>
  <c r="N116" i="1"/>
  <c r="O187" i="1"/>
  <c r="O233" i="1" l="1"/>
  <c r="N119" i="1"/>
  <c r="N130" i="1" s="1"/>
  <c r="N148" i="1" s="1"/>
  <c r="O218" i="1"/>
  <c r="O104" i="1" l="1"/>
  <c r="O106" i="1" s="1"/>
  <c r="O219" i="1"/>
  <c r="O107" i="1" l="1"/>
  <c r="O108" i="1" s="1"/>
  <c r="O110" i="1" s="1"/>
  <c r="O153" i="1" s="1"/>
  <c r="O168" i="1" l="1"/>
  <c r="O185" i="1" s="1"/>
  <c r="O188" i="1" s="1"/>
  <c r="O144" i="1"/>
  <c r="O234" i="1" l="1"/>
  <c r="O239" i="1" s="1"/>
  <c r="O240" i="1" l="1"/>
  <c r="O261" i="1" s="1"/>
  <c r="O262" i="1" l="1"/>
  <c r="O191" i="1"/>
  <c r="O243" i="1"/>
  <c r="P252" i="1" l="1"/>
  <c r="P230" i="1"/>
  <c r="P212" i="1"/>
  <c r="O244" i="1"/>
  <c r="O263" i="1"/>
  <c r="O245" i="1" s="1"/>
  <c r="P214" i="1" l="1"/>
  <c r="P254" i="1"/>
  <c r="P213" i="1"/>
  <c r="P253" i="1"/>
  <c r="P226" i="1"/>
  <c r="P227" i="1"/>
  <c r="O264" i="1"/>
  <c r="P228" i="1" l="1"/>
  <c r="P99" i="1" s="1"/>
  <c r="O246" i="1"/>
  <c r="O265" i="1"/>
  <c r="O247" i="1" s="1"/>
  <c r="O266" i="1" l="1"/>
  <c r="P215" i="1"/>
  <c r="P255" i="1"/>
  <c r="P216" i="1"/>
  <c r="P221" i="1"/>
  <c r="P256" i="1"/>
  <c r="O248" i="1" l="1"/>
  <c r="O267" i="1"/>
  <c r="O193" i="1" s="1"/>
  <c r="P257" i="1" l="1"/>
  <c r="P258" i="1" s="1"/>
  <c r="P217" i="1"/>
  <c r="P222" i="1"/>
  <c r="P223" i="1" s="1"/>
  <c r="P163" i="1" s="1"/>
  <c r="O249" i="1"/>
  <c r="O138" i="1"/>
  <c r="O194" i="1"/>
  <c r="O142" i="1" l="1"/>
  <c r="O146" i="1" s="1"/>
  <c r="O116" i="1"/>
  <c r="P187" i="1"/>
  <c r="P237" i="1"/>
  <c r="P192" i="1"/>
  <c r="P98" i="1"/>
  <c r="P233" i="1" l="1"/>
  <c r="P218" i="1"/>
  <c r="O119" i="1"/>
  <c r="O130" i="1" s="1"/>
  <c r="O148" i="1" s="1"/>
  <c r="P104" i="1" l="1"/>
  <c r="P106" i="1" s="1"/>
  <c r="P219" i="1"/>
  <c r="P107" i="1" l="1"/>
  <c r="P108" i="1" s="1"/>
  <c r="P110" i="1" s="1"/>
  <c r="P153" i="1" s="1"/>
  <c r="P168" i="1" l="1"/>
  <c r="P185" i="1" s="1"/>
  <c r="P188" i="1" s="1"/>
  <c r="P144" i="1"/>
  <c r="P234" i="1" l="1"/>
  <c r="P239" i="1" s="1"/>
  <c r="P240" i="1" l="1"/>
  <c r="P261" i="1"/>
  <c r="P262" i="1" l="1"/>
  <c r="P263" i="1" s="1"/>
  <c r="P245" i="1" s="1"/>
  <c r="P191" i="1"/>
  <c r="P243" i="1"/>
  <c r="Q254" i="1" l="1"/>
  <c r="Q214" i="1"/>
  <c r="Q252" i="1"/>
  <c r="Q212" i="1"/>
  <c r="Q230" i="1"/>
  <c r="P244" i="1"/>
  <c r="P264" i="1"/>
  <c r="P246" i="1" s="1"/>
  <c r="P265" i="1" l="1"/>
  <c r="P247" i="1" s="1"/>
  <c r="Q226" i="1"/>
  <c r="Q227" i="1"/>
  <c r="P266" i="1"/>
  <c r="Q256" i="1"/>
  <c r="Q216" i="1"/>
  <c r="Q221" i="1"/>
  <c r="Q255" i="1"/>
  <c r="Q215" i="1"/>
  <c r="Q213" i="1"/>
  <c r="Q253" i="1"/>
  <c r="Q228" i="1" l="1"/>
  <c r="Q99" i="1" s="1"/>
  <c r="P248" i="1"/>
  <c r="P267" i="1"/>
  <c r="P193" i="1" s="1"/>
  <c r="P194" i="1" l="1"/>
  <c r="P138" i="1"/>
  <c r="Q257" i="1"/>
  <c r="Q258" i="1" s="1"/>
  <c r="Q217" i="1"/>
  <c r="Q222" i="1"/>
  <c r="Q223" i="1" s="1"/>
  <c r="Q163" i="1" s="1"/>
  <c r="P249" i="1"/>
  <c r="Q98" i="1" l="1"/>
  <c r="Q237" i="1"/>
  <c r="Q192" i="1"/>
  <c r="P142" i="1"/>
  <c r="P146" i="1" s="1"/>
  <c r="P116" i="1"/>
  <c r="Q187" i="1"/>
  <c r="P119" i="1" l="1"/>
  <c r="P130" i="1" s="1"/>
  <c r="P148" i="1" s="1"/>
  <c r="Q218" i="1"/>
  <c r="Q233" i="1"/>
  <c r="Q104" i="1" l="1"/>
  <c r="Q106" i="1" s="1"/>
  <c r="Q219" i="1"/>
  <c r="Q107" i="1" l="1"/>
  <c r="Q108" i="1" s="1"/>
  <c r="Q110" i="1" s="1"/>
  <c r="Q153" i="1" s="1"/>
  <c r="Q168" i="1" l="1"/>
  <c r="Q185" i="1" s="1"/>
  <c r="Q188" i="1" s="1"/>
  <c r="Q144" i="1"/>
  <c r="Q234" i="1" l="1"/>
  <c r="Q239" i="1" s="1"/>
  <c r="Q240" i="1" l="1"/>
  <c r="Q261" i="1"/>
  <c r="Q262" i="1" s="1"/>
  <c r="Q244" i="1" s="1"/>
  <c r="Q263" i="1" l="1"/>
  <c r="Q191" i="1"/>
  <c r="Q243" i="1"/>
  <c r="Q245" i="1" l="1"/>
  <c r="Q264" i="1"/>
  <c r="Q246" i="1" s="1"/>
  <c r="Q265" i="1" l="1"/>
  <c r="Q247" i="1" s="1"/>
  <c r="Q266" i="1" l="1"/>
  <c r="Q248" i="1" s="1"/>
  <c r="Q249" i="1" s="1"/>
  <c r="Q267" i="1" l="1"/>
  <c r="Q193" i="1" s="1"/>
  <c r="Q194" i="1" l="1"/>
  <c r="Q116" i="1" s="1"/>
  <c r="Q119" i="1" s="1"/>
  <c r="Q130" i="1" s="1"/>
  <c r="Q138" i="1"/>
  <c r="Q142" i="1" s="1"/>
  <c r="Q146" i="1" s="1"/>
  <c r="Q1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E11" authorId="0" shapeId="0" xr:uid="{3B294526-C879-44FA-B728-558E524BD77F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Calculating EBITDA differently, so the multiple is slightly higher.</t>
        </r>
      </text>
    </comment>
    <comment ref="E16" authorId="0" shapeId="0" xr:uid="{2F8F2567-CDD5-471B-AE14-FEFE69F84BF7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Parent company has almost no DTAs, so Viridor's NOLs are likely 0.</t>
        </r>
      </text>
    </comment>
    <comment ref="E78" authorId="0" shapeId="0" xr:uid="{C3B6B142-AA6E-4B32-ABF1-9C285FAEA781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U.K. laws around asset purchases.</t>
        </r>
      </text>
    </comment>
    <comment ref="K80" authorId="0" shapeId="0" xr:uid="{17AFEF3E-E086-46DD-9658-5ECB78DF24E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It's an asset purchase, so everything is written up for book and tax purposes… hence no DTL.</t>
        </r>
      </text>
    </comment>
    <comment ref="K280" authorId="0" shapeId="0" xr:uid="{85737036-C80E-4BB3-BE64-9B4E13B0A8C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It's a cash-free, debt-free deal and an asset purchase, so NOLs should be completely written down.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K53" authorId="0" shapeId="0" xr:uid="{9128270B-B21E-4F59-B8F7-5C39CC1B1E17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U.K. corporate tax rate increasing this fiscal year.</t>
        </r>
      </text>
    </comment>
    <comment ref="G79" authorId="0" shapeId="0" xr:uid="{E87CDC03-F4A5-4272-8F8C-5D45B719243C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Primarily the change in the fair value of hedging instruments.</t>
        </r>
      </text>
    </comment>
  </commentList>
</comments>
</file>

<file path=xl/sharedStrings.xml><?xml version="1.0" encoding="utf-8"?>
<sst xmlns="http://schemas.openxmlformats.org/spreadsheetml/2006/main" count="821" uniqueCount="428">
  <si>
    <t>Company Name:</t>
  </si>
  <si>
    <t>Sources &amp; Uses Schedule:</t>
  </si>
  <si>
    <t>Debt Schedule:</t>
  </si>
  <si>
    <t>Total Sources:</t>
  </si>
  <si>
    <t>Total Uses:</t>
  </si>
  <si>
    <t>PIK</t>
  </si>
  <si>
    <t>N/A</t>
  </si>
  <si>
    <t>Debt Tranche Name:</t>
  </si>
  <si>
    <t>Revolver:</t>
  </si>
  <si>
    <t>Spread:</t>
  </si>
  <si>
    <t>Annual</t>
  </si>
  <si>
    <t>Transaction Fees:</t>
  </si>
  <si>
    <t>x EBITDA</t>
  </si>
  <si>
    <t>Purchase Enterprise Value:</t>
  </si>
  <si>
    <t>Debt Assumptions:</t>
  </si>
  <si>
    <t>LTM EBITDA:</t>
  </si>
  <si>
    <t>EBITDA:</t>
  </si>
  <si>
    <t>Uses of Funds:</t>
  </si>
  <si>
    <t>Net Income:</t>
  </si>
  <si>
    <t>% Sources</t>
  </si>
  <si>
    <t>Sources of Funds:</t>
  </si>
  <si>
    <t>(-) Capital Expenditures:</t>
  </si>
  <si>
    <t>Cash Flow Projections:</t>
  </si>
  <si>
    <t>Cash - Beginning of Period:</t>
  </si>
  <si>
    <t>Cash - End of Period:</t>
  </si>
  <si>
    <t>%</t>
  </si>
  <si>
    <t>Units:</t>
  </si>
  <si>
    <t>Floor:</t>
  </si>
  <si>
    <t>(+) PIK Interest:</t>
  </si>
  <si>
    <t>(-) Minimum Cash:</t>
  </si>
  <si>
    <t>(x) Exit Multiple:</t>
  </si>
  <si>
    <t>Exit Enterprise Value:</t>
  </si>
  <si>
    <t>IRR:</t>
  </si>
  <si>
    <t>Multiple:</t>
  </si>
  <si>
    <t>#</t>
  </si>
  <si>
    <t>x</t>
  </si>
  <si>
    <t>Subordinated Notes:</t>
  </si>
  <si>
    <t>Upside</t>
  </si>
  <si>
    <t>Base</t>
  </si>
  <si>
    <t>Downside</t>
  </si>
  <si>
    <t>Revenue Projections:</t>
  </si>
  <si>
    <t>Income Statement:</t>
  </si>
  <si>
    <t>Pre-Tax Income:</t>
  </si>
  <si>
    <t>Balance Sheet:</t>
  </si>
  <si>
    <t>Cash &amp; Cash-Equivalents:</t>
  </si>
  <si>
    <t>Accounts Receivable:</t>
  </si>
  <si>
    <t>Total Current Assets:</t>
  </si>
  <si>
    <t>Net PP&amp;E:</t>
  </si>
  <si>
    <t>Goodwill:</t>
  </si>
  <si>
    <t>Other Intangible Assets:</t>
  </si>
  <si>
    <t>Other Long-Term Assets:</t>
  </si>
  <si>
    <t>Total Long-Term Assets:</t>
  </si>
  <si>
    <t>TOTAL ASSETS:</t>
  </si>
  <si>
    <t>ASSETS:</t>
  </si>
  <si>
    <t>Total Current Liabilities:</t>
  </si>
  <si>
    <t>LIABILITIES &amp; EQUITY:</t>
  </si>
  <si>
    <t>Other Long-Term Liabilities:</t>
  </si>
  <si>
    <t>Total Long-Term Liabilities:</t>
  </si>
  <si>
    <t>TOTAL LIABILITIES &amp; EQUITY:</t>
  </si>
  <si>
    <t>Balance Check:</t>
  </si>
  <si>
    <t>Current Assets:</t>
  </si>
  <si>
    <t>Long-Term Assets:</t>
  </si>
  <si>
    <t>Current Liabilities:</t>
  </si>
  <si>
    <t>Long-Term Liabilities:</t>
  </si>
  <si>
    <t>(+) Impairment of Goodwill:</t>
  </si>
  <si>
    <t>(+/-) Deferred Taxes:</t>
  </si>
  <si>
    <t>Net Cash Provided by Operating Activities:</t>
  </si>
  <si>
    <t>CASH FLOWS FROM OPERATING ACTIVITIES:</t>
  </si>
  <si>
    <t/>
  </si>
  <si>
    <t>Net Cash Used in Investing Activities:</t>
  </si>
  <si>
    <t>Revenue and Expenses:</t>
  </si>
  <si>
    <t>(-) Impairment of Goodwill:</t>
  </si>
  <si>
    <t>Term Loan A:</t>
  </si>
  <si>
    <t>Term Loan B:</t>
  </si>
  <si>
    <t>Purchase Equity Value:</t>
  </si>
  <si>
    <t>Sweep %:</t>
  </si>
  <si>
    <t>Goodwill Creation &amp; Purchase Price Allocation:</t>
  </si>
  <si>
    <t>Goodwill Calculation:</t>
  </si>
  <si>
    <t>Fixed Asset Write-Up:</t>
  </si>
  <si>
    <t>%:</t>
  </si>
  <si>
    <t>Equity Purchase Price:</t>
  </si>
  <si>
    <t>PP&amp;E Write-Up:</t>
  </si>
  <si>
    <t>Depreciation Period (Years):</t>
  </si>
  <si>
    <t>Total Allocable Purchase Premium:</t>
  </si>
  <si>
    <t>Intangible Asset Write-Up:</t>
  </si>
  <si>
    <t>Excess Purchase Price to Allocate:</t>
  </si>
  <si>
    <t>Indefinite-Lived Intangibles:</t>
  </si>
  <si>
    <t>Definite-Lived Intangibles:</t>
  </si>
  <si>
    <t>Total Goodwill Created:</t>
  </si>
  <si>
    <t>New Deferred Tax Liability:</t>
  </si>
  <si>
    <t>(-) Seller's Common Book Value:</t>
  </si>
  <si>
    <t>(+) Write-Off of Existing Goodwill:</t>
  </si>
  <si>
    <t>(-) Write-Up of PP&amp;E:</t>
  </si>
  <si>
    <t>(-) Write-Up of Intangibles:</t>
  </si>
  <si>
    <t>(-) Write-Down of Existing DTL:</t>
  </si>
  <si>
    <t>(+) New Deferred Tax Liability:</t>
  </si>
  <si>
    <t>Returns Calculations:</t>
  </si>
  <si>
    <t>Cash Flow</t>
  </si>
  <si>
    <t>(-) Mandatory Debt Repayments:</t>
  </si>
  <si>
    <t>(+) Depreciation of PP&amp;E Write-Up:</t>
  </si>
  <si>
    <t>Selected Scenario:</t>
  </si>
  <si>
    <t>Exit Year:</t>
  </si>
  <si>
    <t>(+) Exit Equity Proceeds:</t>
  </si>
  <si>
    <t>Total Cash Flows:</t>
  </si>
  <si>
    <t>(-) Earn-Out Granted:</t>
  </si>
  <si>
    <t>Credit Stats and Ratios:</t>
  </si>
  <si>
    <t>Returns to Sponsor:</t>
  </si>
  <si>
    <t>Sponsor Multiple:</t>
  </si>
  <si>
    <t>Sponsor IRR:</t>
  </si>
  <si>
    <t>Total Debt:</t>
  </si>
  <si>
    <t>Senior Debt:</t>
  </si>
  <si>
    <t>Cumulative Debt Paydown:</t>
  </si>
  <si>
    <t>Cumulative Paydown % Initial Debt:</t>
  </si>
  <si>
    <t>Total Debt / EBITDA:</t>
  </si>
  <si>
    <t>Revenue Growth:</t>
  </si>
  <si>
    <t>EBITDA Margin:</t>
  </si>
  <si>
    <t>Senior Debt / EBITDA:</t>
  </si>
  <si>
    <t>Sensitivity Tables - Sponsor Returns:</t>
  </si>
  <si>
    <t>Conversion Units:</t>
  </si>
  <si>
    <t>Transaction Assumptions:</t>
  </si>
  <si>
    <t>Last Historical Year:</t>
  </si>
  <si>
    <t>Name</t>
  </si>
  <si>
    <t>Date</t>
  </si>
  <si>
    <t>Revenue:</t>
  </si>
  <si>
    <t>Amort.:</t>
  </si>
  <si>
    <t>(-) Lease Interest:</t>
  </si>
  <si>
    <t>(-) Depreciation of Owned PP&amp;E:</t>
  </si>
  <si>
    <t>Net Income to Parent:</t>
  </si>
  <si>
    <t>Net Deferred Tax Liabilities:</t>
  </si>
  <si>
    <t>Common Shareholders' Equity:</t>
  </si>
  <si>
    <t>(+) Depreciation of Owned PP&amp;E:</t>
  </si>
  <si>
    <t>(+/-) Change in Working Capital:</t>
  </si>
  <si>
    <t>Advisory Fee %:</t>
  </si>
  <si>
    <t>Debt Issuance Fee %:</t>
  </si>
  <si>
    <t>Legal and Other Fees:</t>
  </si>
  <si>
    <t>Expense, CapEx, and Lease Projections:</t>
  </si>
  <si>
    <t>Effective Tax Rate:</t>
  </si>
  <si>
    <t>(+/-) Other Operational Items:</t>
  </si>
  <si>
    <t>Benchmark</t>
  </si>
  <si>
    <t>Year 3 EBITDA Exit Multiple:</t>
  </si>
  <si>
    <t>(-) Interest Expense on Debt:</t>
  </si>
  <si>
    <t>Total Interest Expense:</t>
  </si>
  <si>
    <t>EBITDA / Total Interest Expense:</t>
  </si>
  <si>
    <t>Tax Schedule:</t>
  </si>
  <si>
    <t>Book Pre-Tax Income:</t>
  </si>
  <si>
    <t>Taxable Income:</t>
  </si>
  <si>
    <t>Beginning Net Operating Loss (NOL) Balance:</t>
  </si>
  <si>
    <t>(+) NOLs Created:</t>
  </si>
  <si>
    <t>(-) NOLs Used:</t>
  </si>
  <si>
    <t>Ending NOL Balance:</t>
  </si>
  <si>
    <t>NOL-Adjusted Taxable Income:</t>
  </si>
  <si>
    <t>Cash Taxes Payable:</t>
  </si>
  <si>
    <t>Deferred Income Taxes:</t>
  </si>
  <si>
    <t>(-) Income Taxes / (+) Benefits:</t>
  </si>
  <si>
    <t>Cash:</t>
  </si>
  <si>
    <t>Interest Rates:</t>
  </si>
  <si>
    <t>Investor Equity:</t>
  </si>
  <si>
    <t>Interest Expense on Debt:</t>
  </si>
  <si>
    <t>Operating Scenario:</t>
  </si>
  <si>
    <t>Viridor Limited</t>
  </si>
  <si>
    <t>CASH FLOWS FROM INVESTING ACTIVITIES:</t>
  </si>
  <si>
    <t>CASH FLOWS FROM FINANCING ACTIVITIES:</t>
  </si>
  <si>
    <t>(-) Finance/Op. Lease Asset Additions:</t>
  </si>
  <si>
    <t>(+) Finance/Op. Lease Liability Additions:</t>
  </si>
  <si>
    <t>(-) Payments of Finance/Op. Lease Liabilities:</t>
  </si>
  <si>
    <t>(+) Share Issuances / (-) Repurchases:</t>
  </si>
  <si>
    <t>(-) Ordinary Dividends Paid:</t>
  </si>
  <si>
    <t>(-) Debt Repayments &amp; Maturities:</t>
  </si>
  <si>
    <t>£ M</t>
  </si>
  <si>
    <t>Net Cash Flow from Financing Activities:</t>
  </si>
  <si>
    <t>(-) Employment Costs:</t>
  </si>
  <si>
    <t>(-) Raw Materials and Consumables Used:</t>
  </si>
  <si>
    <t>(-) Other Operating Expenses:</t>
  </si>
  <si>
    <t>Total Cash Operating Expenses:</t>
  </si>
  <si>
    <t>Statutory EBITDA:</t>
  </si>
  <si>
    <t>(+) Finance Income:</t>
  </si>
  <si>
    <t>(-) Lease Depreciation:</t>
  </si>
  <si>
    <t>(-) Amortisation of Existing Intangible Assets:</t>
  </si>
  <si>
    <t>Finance/Op. Lease Assets:</t>
  </si>
  <si>
    <t>Joint Ventures:</t>
  </si>
  <si>
    <t>Finance/Op. Lease Liabilities:</t>
  </si>
  <si>
    <t>Inventories &amp; Other:</t>
  </si>
  <si>
    <t>Accounts Payable &amp; Other:</t>
  </si>
  <si>
    <t>(+) Lease Depreciation:</t>
  </si>
  <si>
    <t>(-) Net Income from Joint Ventures:</t>
  </si>
  <si>
    <t>(+) Dividends Received from Joint Ventures::</t>
  </si>
  <si>
    <t>(+) Net Income from Joint Ventures:</t>
  </si>
  <si>
    <t>Amortisation of Intangibles:</t>
  </si>
  <si>
    <t>(+) Amortisation of Existing Intangible Assets:</t>
  </si>
  <si>
    <t>Net Change in Cash:</t>
  </si>
  <si>
    <t>(+/-) Other Investing Activities:</t>
  </si>
  <si>
    <t>Total Waste Inputs:</t>
  </si>
  <si>
    <t>Average Price per Tonne of Waste Input:</t>
  </si>
  <si>
    <t>£ / Tonne</t>
  </si>
  <si>
    <t>Tonne / Fac.</t>
  </si>
  <si>
    <t>Yield on Joint Ventures:</t>
  </si>
  <si>
    <t># Employees:</t>
  </si>
  <si>
    <t>Average Employee Expense:</t>
  </si>
  <si>
    <t>£ / Empl.</t>
  </si>
  <si>
    <t>Growth Rate:</t>
  </si>
  <si>
    <t>Maintenance CapEx per Facility:</t>
  </si>
  <si>
    <t>Waste Throughput per Existing Facility:</t>
  </si>
  <si>
    <t>New Leased Facilities:</t>
  </si>
  <si>
    <t>CapEx per New Owned ERF Plant:</t>
  </si>
  <si>
    <t>£ M / Plant</t>
  </si>
  <si>
    <t>New ERF Plants Brought Online:</t>
  </si>
  <si>
    <t>£ M / Fac.</t>
  </si>
  <si>
    <t>Construction Time per New Owned ERF Plant:</t>
  </si>
  <si>
    <t># Years</t>
  </si>
  <si>
    <t>Lease Value per New Leased Facility:</t>
  </si>
  <si>
    <t>Waste Throughput per ERF Plant:</t>
  </si>
  <si>
    <t>Depreciation Period per New Owned ERF Plant:</t>
  </si>
  <si>
    <t>Tonnes / Plant</t>
  </si>
  <si>
    <t>Tonne / Empl.</t>
  </si>
  <si>
    <t>Growth Rate in Price per Tonne of Waste Input:</t>
  </si>
  <si>
    <t>New ERF Plant Construction Starts:</t>
  </si>
  <si>
    <t>(£ in GBP Millions Unless Otherwise Stated)</t>
  </si>
  <si>
    <t>Lease Interest per Average Facility:</t>
  </si>
  <si>
    <t>Leased Asset Additions:</t>
  </si>
  <si>
    <t>Lease Liab. Additions:</t>
  </si>
  <si>
    <t>Lease Depreciation per Average Facility:</t>
  </si>
  <si>
    <t>Waste Inputs - "Average" Facilities:</t>
  </si>
  <si>
    <t># of "Average" Facilities:</t>
  </si>
  <si>
    <t>Waste Inputs - New ERF Plants:</t>
  </si>
  <si>
    <t>Depreciation of Growth CapEx:</t>
  </si>
  <si>
    <t>Depreciation per Average Facility:</t>
  </si>
  <si>
    <t>Waste Input Tonnes per Employee:</t>
  </si>
  <si>
    <t>Lease Liability Payments per Average Facility:</t>
  </si>
  <si>
    <t>Growth CapEx - Year 1:</t>
  </si>
  <si>
    <t>Growth CapEx - Year 2:</t>
  </si>
  <si>
    <t>Growth CapEx - Year 3:</t>
  </si>
  <si>
    <t>Growth CapEx - Year 4:</t>
  </si>
  <si>
    <t>Growth CapEx - Year 5:</t>
  </si>
  <si>
    <t>Growth CapEx - Year 6:</t>
  </si>
  <si>
    <t>Total Growth CapEx:</t>
  </si>
  <si>
    <t>£ M / Facility</t>
  </si>
  <si>
    <t>Other OpEx per Waste Input Tonne:</t>
  </si>
  <si>
    <t>Raw Materials per Waste Input Tonne:</t>
  </si>
  <si>
    <t>Dividends % JV Net Income:</t>
  </si>
  <si>
    <t>Accounts Receivable % Revenue:</t>
  </si>
  <si>
    <t>Inventories &amp; Other % Raw Materials:</t>
  </si>
  <si>
    <t>Other Long-Term Assets % Revenue:</t>
  </si>
  <si>
    <t>Accounts Payable &amp; Other % Cash Expenses:</t>
  </si>
  <si>
    <t>Other Long-Term Liabilities % Cash Expenses:</t>
  </si>
  <si>
    <t>Cash Operating Expenses:</t>
  </si>
  <si>
    <t>Balance Sheet and Cash Flow Statement Drivers:</t>
  </si>
  <si>
    <t>Finance Income:</t>
  </si>
  <si>
    <t>Impairment of Goodwill:</t>
  </si>
  <si>
    <t>Average Interest Rate on Debt:</t>
  </si>
  <si>
    <t>Other Operational Items % Revenue:</t>
  </si>
  <si>
    <t>Other Investing Activities % Revenue:</t>
  </si>
  <si>
    <t>Share Issuances / Repurchases:</t>
  </si>
  <si>
    <t>Ordinary Dividends Paid:</t>
  </si>
  <si>
    <t>Debt Repayments &amp; Maturities:</t>
  </si>
  <si>
    <t>Cash % Total Cash OpEx:</t>
  </si>
  <si>
    <t>Minimum Cash:</t>
  </si>
  <si>
    <t>Debt Issuances:</t>
  </si>
  <si>
    <t>(+) Debt Issuances:</t>
  </si>
  <si>
    <t>Senior Unsecured Notes:</t>
  </si>
  <si>
    <t>Mezzanine:</t>
  </si>
  <si>
    <t>Undrawn</t>
  </si>
  <si>
    <t>Fee:</t>
  </si>
  <si>
    <t>Overdrawn</t>
  </si>
  <si>
    <t>Revolver - Maximum Size:</t>
  </si>
  <si>
    <t>Revolver - Maximum Size (x EBITDA):</t>
  </si>
  <si>
    <t>Maturity:</t>
  </si>
  <si>
    <t>Issue</t>
  </si>
  <si>
    <t>Discount:</t>
  </si>
  <si>
    <t>£ M GBP</t>
  </si>
  <si>
    <t>Minimum Operating WC at Deal Close:</t>
  </si>
  <si>
    <t>Funding to Meet Minimum Op. WC:</t>
  </si>
  <si>
    <t>Transaction Close Date:</t>
  </si>
  <si>
    <t>Pre-Transaction Stub Period:</t>
  </si>
  <si>
    <t>Post-Transaction Stub Period:</t>
  </si>
  <si>
    <t>Historical:</t>
  </si>
  <si>
    <t>Projected:</t>
  </si>
  <si>
    <t>Stub:</t>
  </si>
  <si>
    <t>Transaction Adjustments:</t>
  </si>
  <si>
    <t>Debit</t>
  </si>
  <si>
    <t>Credit</t>
  </si>
  <si>
    <t>TEV / EBITDA Purchase Multiple:</t>
  </si>
  <si>
    <t>Post-Transaction - Projected:</t>
  </si>
  <si>
    <t>(+) Dividends Received:</t>
  </si>
  <si>
    <t>10-Year U.K. Government Bond Yield:</t>
  </si>
  <si>
    <t>(-) Depreciation of PP&amp;E Write-Up:</t>
  </si>
  <si>
    <t>Free Cash Flow Minus Dividends:</t>
  </si>
  <si>
    <t>(-) Revolver Fees:</t>
  </si>
  <si>
    <t>(+) Cash:</t>
  </si>
  <si>
    <t>(-) Debt:</t>
  </si>
  <si>
    <t>(+) Free Cash Flow Minus Dividends:</t>
  </si>
  <si>
    <t>Interest Calculations:</t>
  </si>
  <si>
    <t>Net Interest Expense:</t>
  </si>
  <si>
    <t>(+) Revolver Borrowing Required:</t>
  </si>
  <si>
    <t>Mandatory Debt Repayments:</t>
  </si>
  <si>
    <t>Mandatory Debt Repayment Total:</t>
  </si>
  <si>
    <t>Debt Balances (Face Values):</t>
  </si>
  <si>
    <t>Total Debt (Face Value):</t>
  </si>
  <si>
    <t>(+) Additional Term Loan A Issuance (Div Recap):</t>
  </si>
  <si>
    <t>Optional Debt Repayments:</t>
  </si>
  <si>
    <t>Optional Debt Repayment Total:</t>
  </si>
  <si>
    <t>(+) Revolver Borrowing:</t>
  </si>
  <si>
    <t>(-) Optional Debt Repayments:</t>
  </si>
  <si>
    <t>Cash Flow Available Before Revolver:</t>
  </si>
  <si>
    <t>Circular References:</t>
  </si>
  <si>
    <t>Text</t>
  </si>
  <si>
    <t>Total PIK Interest:</t>
  </si>
  <si>
    <t>Revolver Fees:</t>
  </si>
  <si>
    <t>Undrawn Fee:</t>
  </si>
  <si>
    <t>Overdrawn Fee:</t>
  </si>
  <si>
    <t>Total Fees:</t>
  </si>
  <si>
    <t>Revolver Draw % Maximum:</t>
  </si>
  <si>
    <t>Int. Rate:</t>
  </si>
  <si>
    <t>Fixed Cash</t>
  </si>
  <si>
    <t>Prepayment</t>
  </si>
  <si>
    <t>Penalty:</t>
  </si>
  <si>
    <t>Equity</t>
  </si>
  <si>
    <t>Percentage:</t>
  </si>
  <si>
    <t>Project-Level Returns (Before Dividend Recap):</t>
  </si>
  <si>
    <t>Earn-Outs to Management:</t>
  </si>
  <si>
    <t>Management Earn-Out - Tier 1 - Equity Multiple:</t>
  </si>
  <si>
    <t>Management Earn-Out - Tier 2 - Equity Multiple:</t>
  </si>
  <si>
    <t>Management Earn-Out - Tier 1 - Marginal Profit %:</t>
  </si>
  <si>
    <t>Management Earn-Out - Tier 2 - Marginal Profit %:</t>
  </si>
  <si>
    <t>Total Earn-Out Payments:</t>
  </si>
  <si>
    <t>Weighted Amortisation Period (Years):</t>
  </si>
  <si>
    <t>Amortisation Period (Years):</t>
  </si>
  <si>
    <t>(-) Amortisation of Financing Fees:</t>
  </si>
  <si>
    <t>(-) Amortisation of OID:</t>
  </si>
  <si>
    <t>(-) Amortisation of Intangible Write-Ups:</t>
  </si>
  <si>
    <t>(+) Amortisation of Financing Fees:</t>
  </si>
  <si>
    <t>(+) Amortisation of OID:</t>
  </si>
  <si>
    <t>(+) Amortisation of Intangible Write-Ups:</t>
  </si>
  <si>
    <t>Issuance Fees to Amortise:</t>
  </si>
  <si>
    <t>OID to Amortise:</t>
  </si>
  <si>
    <t>Tier 1 Threshold Proceeds:</t>
  </si>
  <si>
    <t>Tier 2 Threshold Proceeds:</t>
  </si>
  <si>
    <t>Tier 1 Earn-Out:</t>
  </si>
  <si>
    <t>Tier 2 Earn-Out:</t>
  </si>
  <si>
    <t>Dividend Recap Size (x EBITDA):</t>
  </si>
  <si>
    <t>Dividend Recap Year:</t>
  </si>
  <si>
    <t>(-) Issuance Fees on Dividend Recap Debt:</t>
  </si>
  <si>
    <t>Possible Close Dates:</t>
  </si>
  <si>
    <t>(-) Initial Investment:</t>
  </si>
  <si>
    <t>(+) Cash Interest Received:</t>
  </si>
  <si>
    <t>(+) Mandatory/Optional Principal Repayments:</t>
  </si>
  <si>
    <t>(+) Issuance Fees:</t>
  </si>
  <si>
    <t>(+) Prepayment Penalty:</t>
  </si>
  <si>
    <t>(+) Repayment Upon Exit:</t>
  </si>
  <si>
    <t>(+) Original Issue Discount (OID):</t>
  </si>
  <si>
    <t>(+) Equity Granted to Mezzanine Investors:</t>
  </si>
  <si>
    <t>Subordinated Note Multiple:</t>
  </si>
  <si>
    <t>Subordinated Note IRR:</t>
  </si>
  <si>
    <t>Subordinated Note Recovery:</t>
  </si>
  <si>
    <t>Mezzanine Multiple:</t>
  </si>
  <si>
    <t>Mezzanine IRR:</t>
  </si>
  <si>
    <t>Mezzanine Recovery:</t>
  </si>
  <si>
    <t>Year 5 Exit TEV / EBITDA Multiple (Baseline Purchase TEV):</t>
  </si>
  <si>
    <t>Purchase EBITDA Multiple (Year 5 Exit):</t>
  </si>
  <si>
    <t>XT Downside</t>
  </si>
  <si>
    <t>Mezzanine - Recovery:</t>
  </si>
  <si>
    <t>Mezzanine - Internal Rate of Return (IRR):</t>
  </si>
  <si>
    <t>Returns to Senior Unsecured Notes:</t>
  </si>
  <si>
    <t>Returns to Subordinated Notes:</t>
  </si>
  <si>
    <t>Returns to Mezzanine:</t>
  </si>
  <si>
    <t>Sensitivity Tables - Returns to Lenders:</t>
  </si>
  <si>
    <t>Subordinated Notes - Internal Rate of Return (IRR):</t>
  </si>
  <si>
    <t>Subordinated Notes  - Recovery:</t>
  </si>
  <si>
    <t>Exit Equity Value:</t>
  </si>
  <si>
    <t>Senior Unsecured Note Multiple:</t>
  </si>
  <si>
    <t>Senior Unsecured Note IRR:</t>
  </si>
  <si>
    <t>Senior Unsecured Note Recovery:</t>
  </si>
  <si>
    <t>Numerical Year #:</t>
  </si>
  <si>
    <t>(+) Cash &amp; Cash-Equivalents:</t>
  </si>
  <si>
    <t>(+) Lease Interest Expense:</t>
  </si>
  <si>
    <t>(+) Interest Expense on Debt:</t>
  </si>
  <si>
    <t>(+) Revolver Fees:</t>
  </si>
  <si>
    <t>Cash Interest Expense on Debt:</t>
  </si>
  <si>
    <t>EBITDA / Cash Interest Expense on Debt:</t>
  </si>
  <si>
    <t>Total Debt Incl. Leases / EBITDA:</t>
  </si>
  <si>
    <t>Net Debt Incl. Leases / EBITDA:</t>
  </si>
  <si>
    <t>Total Debt Incl. Leases:</t>
  </si>
  <si>
    <t>Net Debt Incl. Leases: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</si>
  <si>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Purchase Equity Value is calculated like this because it's a cash-free, debt-free</t>
    </r>
  </si>
  <si>
    <t>Goodwill Annual Amortisation Rate:</t>
  </si>
  <si>
    <t>(-) Amortisation of Goodwill:</t>
  </si>
  <si>
    <t>(+) Net Operating Losses:</t>
  </si>
  <si>
    <t>(+) Net Operating Losses (NOLs):</t>
  </si>
  <si>
    <t>NOPAT After Lease Deduction:</t>
  </si>
  <si>
    <t>Deferred Taxes % Book Taxes:</t>
  </si>
  <si>
    <t>Invested Capital (Excl. Leases):</t>
  </si>
  <si>
    <t>Return on Invested Capital (ROIC):</t>
  </si>
  <si>
    <t>M Tonnes</t>
  </si>
  <si>
    <t>Annual Amortisation Expense:</t>
  </si>
  <si>
    <t>Annual Depreciation Expense:</t>
  </si>
  <si>
    <t>% Principal:</t>
  </si>
  <si>
    <t>deal; including all the normal bridge items would distort the adjusted Balance Sheet.</t>
  </si>
  <si>
    <t>Financing Fees &amp; OID:</t>
  </si>
  <si>
    <t>Dividend Recap:</t>
  </si>
  <si>
    <r>
      <t xml:space="preserve">What is a </t>
    </r>
    <r>
      <rPr>
        <b/>
        <sz val="12"/>
        <color theme="1"/>
        <rFont val="Calibri"/>
        <family val="2"/>
        <scheme val="minor"/>
      </rPr>
      <t>dividend recap?</t>
    </r>
    <r>
      <rPr>
        <sz val="12"/>
        <color theme="1"/>
        <rFont val="Calibri"/>
        <family val="2"/>
        <scheme val="minor"/>
      </rPr>
      <t xml:space="preserve"> Covered back in the intro lessons of Module 12, but, essentially, the company issues additional</t>
    </r>
  </si>
  <si>
    <r>
      <t xml:space="preserve">Debt and distributes the proceeds to the PE owners in the form of a </t>
    </r>
    <r>
      <rPr>
        <b/>
        <sz val="12"/>
        <color theme="1"/>
        <rFont val="Calibri"/>
        <family val="2"/>
        <scheme val="minor"/>
      </rPr>
      <t>dividend</t>
    </r>
    <r>
      <rPr>
        <sz val="12"/>
        <color theme="1"/>
        <rFont val="Calibri"/>
        <family val="2"/>
        <scheme val="minor"/>
      </rPr>
      <t>.</t>
    </r>
  </si>
  <si>
    <t>Result is that the company's Debt and Interest expense go up, but the PE firm's IRR often increases as well since they</t>
  </si>
  <si>
    <t>earn back some of their investment earlier in the holding period.</t>
  </si>
  <si>
    <t xml:space="preserve">Div Recaps rarely make a huge difference in models, but they can boost the IRR by a few percentage points, especially if </t>
  </si>
  <si>
    <t>the company de-levers quickly and/or grows FCF significantly by the end.</t>
  </si>
  <si>
    <r>
      <t xml:space="preserve">We can't implement </t>
    </r>
    <r>
      <rPr>
        <i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of this right now because the Dividends will be factored into the Returns schedule at the bottom as well.</t>
    </r>
  </si>
  <si>
    <t>First, need to check the year since the Div Recap can occur in only 2 years here:</t>
  </si>
  <si>
    <t>=IF(L197=Div_Recap_Year,L93*Div_Recap_Multiple,0)</t>
  </si>
  <si>
    <t>Then, deduct the 2% issuance fee:</t>
  </si>
  <si>
    <t>=-L235*Issuance_Fee_Pct</t>
  </si>
  <si>
    <t>Anything else? Check the Face Value of Term Loan A calculations and the optional and mandatory repayments.</t>
  </si>
  <si>
    <t>Face Value formula already reflects the additional Debt from the Term Loan A issuance.</t>
  </si>
  <si>
    <r>
      <rPr>
        <b/>
        <sz val="12"/>
        <color theme="1"/>
        <rFont val="Calibri"/>
        <family val="2"/>
        <scheme val="minor"/>
      </rPr>
      <t>Optional repayment</t>
    </r>
    <r>
      <rPr>
        <sz val="12"/>
        <color theme="1"/>
        <rFont val="Calibri"/>
        <family val="2"/>
        <scheme val="minor"/>
      </rPr>
      <t xml:space="preserve"> formula also looks fine - it would be a bit weird to do the recap and then start repaying the new loan</t>
    </r>
  </si>
  <si>
    <t>principal immediately in the same year, so we're not factoring it in.</t>
  </si>
  <si>
    <r>
      <t xml:space="preserve">But the </t>
    </r>
    <r>
      <rPr>
        <b/>
        <sz val="12"/>
        <color theme="1"/>
        <rFont val="Calibri"/>
        <family val="2"/>
        <scheme val="minor"/>
      </rPr>
      <t>mandatory repayment</t>
    </r>
    <r>
      <rPr>
        <sz val="12"/>
        <color theme="1"/>
        <rFont val="Calibri"/>
        <family val="2"/>
        <scheme val="minor"/>
      </rPr>
      <t xml:space="preserve"> formula should arguably change and reflect the additional principal repayments of Term Loan A,</t>
    </r>
  </si>
  <si>
    <t>if we're assuming the same terms:</t>
  </si>
  <si>
    <t>=MIN(K244,$D253*($K244+SUM($K235:K235))*Post_Txn_Stub)</t>
  </si>
  <si>
    <t>=MIN(L244,$D253*($K244+SUM($K235:L235)))</t>
  </si>
  <si>
    <t>Can also go up now and check the Interest Expense and make sure it's correct (should be higher after the Div Recap).</t>
  </si>
  <si>
    <t>Financial Statements:</t>
  </si>
  <si>
    <t>Need to link "Ordinary Dividends Paid" down to the Debt Schedule and deduct the issuance fees as well.</t>
  </si>
  <si>
    <t>Similar links at the bottom in the Beginning/Ending Cash calculations.</t>
  </si>
  <si>
    <t>And… that's it. Nothing else needed, but we can check Debt and CSE on the Balance Sheet to make sure Debt is higher and</t>
  </si>
  <si>
    <t>CSE is lower, with Cash about the same (since all the proceeds get issued to the PE firm as a Dividend).</t>
  </si>
  <si>
    <t xml:space="preserve">Div Recap should not make an Income Statement impact at all - only Preferred Dividends potentially show up there, and </t>
  </si>
  <si>
    <t>Viridor has no Preferred Stock.</t>
  </si>
  <si>
    <r>
      <t>Issuance Fee Amortisation:</t>
    </r>
    <r>
      <rPr>
        <sz val="12"/>
        <color theme="1"/>
        <rFont val="Calibri"/>
        <family val="2"/>
        <scheme val="minor"/>
      </rPr>
      <t xml:space="preserve"> We're ignoring it deliberately here. Only happens in the last few years, and it's so small that</t>
    </r>
  </si>
  <si>
    <t>it doesn't matter or affect the model at all. If you really wanted to, yes, you could factor it in on the Income Statement and</t>
  </si>
  <si>
    <t>add it back on the CFS and make it flow into Total Debt on the 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</si>
</sst>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yyyy\-mm\-dd"/>
    <numFmt numFmtId="165" formatCode="_(* #,##0.0_);_(* \(#,##0.0\);_(* &quot;-&quot;?_);_(@_)"/>
    <numFmt numFmtId="166" formatCode="_([$€-2]\ * #,##0.0_);_([$€-2]\ * \(#,##0.0\);_([$€-2]\ * &quot;-&quot;?_);_(@_)"/>
    <numFmt numFmtId="167" formatCode="_(* #,##0.0%;_(* \(#,##0.0%\);_(* &quot;- %&quot;_);_(* @_%_)"/>
    <numFmt numFmtId="168" formatCode="&quot;FY&quot;yy"/>
    <numFmt numFmtId="169" formatCode="0.0\ \x"/>
    <numFmt numFmtId="170" formatCode="0.0%;\(0.0%\)"/>
    <numFmt numFmtId="171" formatCode="0.00\ \x;\(0.00\ \x\)"/>
    <numFmt numFmtId="172" formatCode="0.0%"/>
    <numFmt numFmtId="173" formatCode="_(&quot;$&quot;* #,##0.0_);_(&quot;$&quot;* \(#,##0.0\);_(&quot;$&quot;* &quot;-&quot;?_);_(@_)"/>
    <numFmt numFmtId="174" formatCode="#,##0.0_);\(#,##0.0\)"/>
    <numFmt numFmtId="175" formatCode="&quot;$&quot;#,##0.000\);\(&quot;$&quot;#,##0.000\);&quot;OK!&quot;;&quot;ERROR&quot;"/>
    <numFmt numFmtId="176" formatCode="0.00%;\(0.00%\)"/>
    <numFmt numFmtId="177" formatCode="0.0\ \x;\(0.0\ \x\)"/>
    <numFmt numFmtId="178" formatCode="_(* #,##0.000_);_(* \(#,##0.000\);_(* &quot;-&quot;???_);_(@_)"/>
    <numFmt numFmtId="179" formatCode="_(&quot;$&quot;* #,##0_);_(&quot;$&quot;* \(#,##0\);_(&quot;$&quot;* &quot;-&quot;??_);_(@_)"/>
    <numFmt numFmtId="180" formatCode="_(0.0%_);\(0.0%\);_(&quot;–&quot;_)_%;_(@_)_%"/>
    <numFmt numFmtId="181" formatCode="_-[$£-809]* #,##0.0_-;\-[$£-809]* #,##0.0_-;_-[$£-809]* &quot;-&quot;?_-;_-@_-"/>
    <numFmt numFmtId="182" formatCode="#,##0.0"/>
    <numFmt numFmtId="183" formatCode="_-[$£-809]* #,##0_-;\-[$£-809]* #,##0_-;_-[$£-809]* &quot;-&quot;?_-;_-@_-"/>
    <numFmt numFmtId="184" formatCode="_(* #,##0.00_);_(* \(#,##0.00\);_(* &quot;-&quot;?_);_(@_)"/>
    <numFmt numFmtId="185" formatCode="#,##0.000"/>
    <numFmt numFmtId="186" formatCode="&quot;Yes&quot;;;&quot;No&quot;"/>
    <numFmt numFmtId="187" formatCode="* _(##,##0.000_);[Red]* \(##,##0.000\);* _(&quot;-&quot;?_);_(@_)"/>
    <numFmt numFmtId="188" formatCode="_(* #,##0.000_);_(* \(#,##0.000\);_(* &quot;-&quot;?_);_(@_)"/>
    <numFmt numFmtId="189" formatCode="_-[$£-809]* #,##0.00_-;\-[$£-809]* #,##0.00_-;_-[$£-809]* &quot;-&quot;??_-;_-@_-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6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rgb="FFFFFFFF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 style="thin">
        <color theme="0" tint="-0.2499465926084170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 style="thin">
        <color theme="0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auto="1"/>
      </right>
      <top style="thin">
        <color indexed="64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21" fillId="2" borderId="1" applyNumberFormat="0" applyFont="0" applyAlignment="0" applyProtection="0"/>
    <xf numFmtId="0" fontId="33" fillId="0" borderId="0"/>
  </cellStyleXfs>
  <cellXfs count="541">
    <xf numFmtId="0" fontId="0" fillId="0" borderId="0" xfId="0"/>
    <xf numFmtId="168" fontId="22" fillId="6" borderId="2" xfId="0" applyNumberFormat="1" applyFont="1" applyFill="1" applyBorder="1" applyAlignment="1">
      <alignment horizontal="center"/>
    </xf>
    <xf numFmtId="168" fontId="22" fillId="6" borderId="4" xfId="0" applyNumberFormat="1" applyFont="1" applyFill="1" applyBorder="1" applyAlignment="1">
      <alignment horizontal="center"/>
    </xf>
    <xf numFmtId="0" fontId="23" fillId="0" borderId="0" xfId="0" applyFont="1"/>
    <xf numFmtId="0" fontId="24" fillId="3" borderId="2" xfId="0" applyFont="1" applyFill="1" applyBorder="1"/>
    <xf numFmtId="0" fontId="25" fillId="3" borderId="2" xfId="0" applyFont="1" applyFill="1" applyBorder="1"/>
    <xf numFmtId="0" fontId="26" fillId="3" borderId="2" xfId="0" applyFont="1" applyFill="1" applyBorder="1"/>
    <xf numFmtId="0" fontId="25" fillId="3" borderId="2" xfId="0" applyFont="1" applyFill="1" applyBorder="1" applyAlignment="1"/>
    <xf numFmtId="164" fontId="27" fillId="5" borderId="1" xfId="1" applyNumberFormat="1" applyFont="1" applyFill="1" applyAlignment="1">
      <alignment horizontal="center"/>
    </xf>
    <xf numFmtId="0" fontId="23" fillId="4" borderId="2" xfId="0" applyFont="1" applyFill="1" applyBorder="1"/>
    <xf numFmtId="0" fontId="27" fillId="0" borderId="0" xfId="0" applyFont="1" applyAlignment="1">
      <alignment horizontal="center"/>
    </xf>
    <xf numFmtId="0" fontId="23" fillId="4" borderId="0" xfId="0" applyFont="1" applyFill="1" applyBorder="1"/>
    <xf numFmtId="0" fontId="24" fillId="6" borderId="0" xfId="0" applyFont="1" applyFill="1" applyBorder="1"/>
    <xf numFmtId="0" fontId="25" fillId="6" borderId="0" xfId="0" applyFont="1" applyFill="1" applyBorder="1"/>
    <xf numFmtId="0" fontId="26" fillId="6" borderId="0" xfId="0" applyFont="1" applyFill="1" applyBorder="1"/>
    <xf numFmtId="0" fontId="24" fillId="6" borderId="3" xfId="0" applyFont="1" applyFill="1" applyBorder="1" applyAlignment="1">
      <alignment horizontal="centerContinuous"/>
    </xf>
    <xf numFmtId="0" fontId="25" fillId="6" borderId="3" xfId="0" applyFont="1" applyFill="1" applyBorder="1" applyAlignment="1">
      <alignment horizontal="centerContinuous"/>
    </xf>
    <xf numFmtId="0" fontId="24" fillId="6" borderId="5" xfId="0" applyFont="1" applyFill="1" applyBorder="1" applyAlignment="1">
      <alignment horizontal="centerContinuous"/>
    </xf>
    <xf numFmtId="0" fontId="26" fillId="6" borderId="3" xfId="0" applyFont="1" applyFill="1" applyBorder="1" applyAlignment="1">
      <alignment horizontal="centerContinuous"/>
    </xf>
    <xf numFmtId="0" fontId="25" fillId="6" borderId="2" xfId="0" applyFont="1" applyFill="1" applyBorder="1"/>
    <xf numFmtId="0" fontId="29" fillId="0" borderId="0" xfId="0" applyFont="1" applyAlignment="1">
      <alignment horizontal="left" indent="1"/>
    </xf>
    <xf numFmtId="165" fontId="27" fillId="0" borderId="0" xfId="0" applyNumberFormat="1" applyFont="1"/>
    <xf numFmtId="0" fontId="23" fillId="0" borderId="0" xfId="0" applyFont="1" applyFill="1" applyBorder="1"/>
    <xf numFmtId="166" fontId="23" fillId="0" borderId="0" xfId="0" applyNumberFormat="1" applyFont="1"/>
    <xf numFmtId="166" fontId="23" fillId="0" borderId="0" xfId="0" applyNumberFormat="1" applyFont="1" applyBorder="1"/>
    <xf numFmtId="0" fontId="24" fillId="3" borderId="0" xfId="0" applyFont="1" applyFill="1" applyBorder="1"/>
    <xf numFmtId="0" fontId="25" fillId="3" borderId="0" xfId="0" applyFont="1" applyFill="1" applyBorder="1"/>
    <xf numFmtId="0" fontId="23" fillId="0" borderId="0" xfId="0" applyFont="1" applyAlignment="1">
      <alignment horizontal="left" indent="1"/>
    </xf>
    <xf numFmtId="0" fontId="23" fillId="4" borderId="0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0" fontId="24" fillId="6" borderId="2" xfId="0" applyFont="1" applyFill="1" applyBorder="1"/>
    <xf numFmtId="0" fontId="23" fillId="0" borderId="6" xfId="0" applyFont="1" applyBorder="1"/>
    <xf numFmtId="165" fontId="23" fillId="0" borderId="6" xfId="0" applyNumberFormat="1" applyFont="1" applyBorder="1"/>
    <xf numFmtId="0" fontId="27" fillId="5" borderId="1" xfId="1" applyFont="1" applyFill="1" applyAlignment="1">
      <alignment horizontal="centerContinuous"/>
    </xf>
    <xf numFmtId="0" fontId="32" fillId="6" borderId="2" xfId="0" applyFont="1" applyFill="1" applyBorder="1" applyAlignment="1">
      <alignment horizontal="center"/>
    </xf>
    <xf numFmtId="165" fontId="23" fillId="0" borderId="0" xfId="0" applyNumberFormat="1" applyFont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168" fontId="22" fillId="0" borderId="0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left" indent="1"/>
    </xf>
    <xf numFmtId="0" fontId="30" fillId="0" borderId="0" xfId="0" applyFont="1" applyFill="1" applyBorder="1"/>
    <xf numFmtId="10" fontId="27" fillId="0" borderId="0" xfId="1" applyNumberFormat="1" applyFont="1" applyFill="1" applyBorder="1"/>
    <xf numFmtId="0" fontId="2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4" fillId="0" borderId="0" xfId="2" applyFont="1" applyAlignment="1">
      <alignment horizontal="center"/>
    </xf>
    <xf numFmtId="165" fontId="30" fillId="0" borderId="0" xfId="0" applyNumberFormat="1" applyFont="1"/>
    <xf numFmtId="0" fontId="29" fillId="0" borderId="0" xfId="0" applyFont="1" applyAlignment="1">
      <alignment horizontal="center"/>
    </xf>
    <xf numFmtId="0" fontId="30" fillId="6" borderId="8" xfId="2" applyFont="1" applyFill="1" applyBorder="1"/>
    <xf numFmtId="0" fontId="30" fillId="6" borderId="9" xfId="2" applyFont="1" applyFill="1" applyBorder="1"/>
    <xf numFmtId="0" fontId="22" fillId="6" borderId="9" xfId="2" applyFont="1" applyFill="1" applyBorder="1" applyAlignment="1">
      <alignment horizontal="centerContinuous"/>
    </xf>
    <xf numFmtId="0" fontId="31" fillId="6" borderId="9" xfId="2" applyFont="1" applyFill="1" applyBorder="1" applyAlignment="1">
      <alignment horizontal="centerContinuous"/>
    </xf>
    <xf numFmtId="0" fontId="31" fillId="6" borderId="10" xfId="2" applyFont="1" applyFill="1" applyBorder="1" applyAlignment="1">
      <alignment horizontal="centerContinuous"/>
    </xf>
    <xf numFmtId="0" fontId="30" fillId="6" borderId="11" xfId="2" applyFont="1" applyFill="1" applyBorder="1"/>
    <xf numFmtId="170" fontId="35" fillId="4" borderId="0" xfId="2" applyNumberFormat="1" applyFont="1" applyFill="1" applyBorder="1"/>
    <xf numFmtId="43" fontId="30" fillId="0" borderId="0" xfId="0" applyNumberFormat="1" applyFont="1" applyFill="1" applyBorder="1" applyAlignment="1"/>
    <xf numFmtId="171" fontId="30" fillId="4" borderId="12" xfId="2" applyNumberFormat="1" applyFont="1" applyFill="1" applyBorder="1" applyAlignment="1">
      <alignment horizontal="center"/>
    </xf>
    <xf numFmtId="171" fontId="30" fillId="4" borderId="14" xfId="2" applyNumberFormat="1" applyFont="1" applyFill="1" applyBorder="1" applyAlignment="1">
      <alignment horizontal="center"/>
    </xf>
    <xf numFmtId="0" fontId="23" fillId="0" borderId="0" xfId="0" applyFont="1" applyBorder="1"/>
    <xf numFmtId="170" fontId="28" fillId="0" borderId="0" xfId="1" applyNumberFormat="1" applyFont="1" applyFill="1" applyBorder="1"/>
    <xf numFmtId="168" fontId="22" fillId="6" borderId="15" xfId="0" applyNumberFormat="1" applyFont="1" applyFill="1" applyBorder="1" applyAlignment="1">
      <alignment horizontal="center"/>
    </xf>
    <xf numFmtId="172" fontId="29" fillId="0" borderId="0" xfId="0" applyNumberFormat="1" applyFont="1"/>
    <xf numFmtId="173" fontId="27" fillId="0" borderId="0" xfId="0" applyNumberFormat="1" applyFont="1"/>
    <xf numFmtId="0" fontId="23" fillId="4" borderId="9" xfId="0" applyFont="1" applyFill="1" applyBorder="1"/>
    <xf numFmtId="165" fontId="27" fillId="5" borderId="1" xfId="0" applyNumberFormat="1" applyFont="1" applyFill="1" applyBorder="1"/>
    <xf numFmtId="165" fontId="23" fillId="0" borderId="0" xfId="0" applyNumberFormat="1" applyFont="1" applyBorder="1"/>
    <xf numFmtId="0" fontId="23" fillId="0" borderId="0" xfId="0" applyFont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9" fillId="4" borderId="9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/>
    </xf>
    <xf numFmtId="165" fontId="27" fillId="0" borderId="2" xfId="0" applyNumberFormat="1" applyFont="1" applyBorder="1"/>
    <xf numFmtId="165" fontId="31" fillId="0" borderId="6" xfId="0" applyNumberFormat="1" applyFont="1" applyBorder="1"/>
    <xf numFmtId="175" fontId="29" fillId="0" borderId="0" xfId="0" applyNumberFormat="1" applyFont="1"/>
    <xf numFmtId="169" fontId="30" fillId="0" borderId="0" xfId="0" applyNumberFormat="1" applyFont="1" applyFill="1" applyBorder="1"/>
    <xf numFmtId="165" fontId="23" fillId="0" borderId="20" xfId="0" applyNumberFormat="1" applyFont="1" applyBorder="1"/>
    <xf numFmtId="165" fontId="23" fillId="0" borderId="19" xfId="0" applyNumberFormat="1" applyFont="1" applyBorder="1"/>
    <xf numFmtId="165" fontId="23" fillId="0" borderId="12" xfId="0" applyNumberFormat="1" applyFont="1" applyBorder="1"/>
    <xf numFmtId="173" fontId="23" fillId="0" borderId="19" xfId="0" applyNumberFormat="1" applyFont="1" applyBorder="1"/>
    <xf numFmtId="173" fontId="23" fillId="0" borderId="0" xfId="0" applyNumberFormat="1" applyFont="1" applyBorder="1"/>
    <xf numFmtId="173" fontId="23" fillId="0" borderId="12" xfId="0" applyNumberFormat="1" applyFont="1" applyBorder="1"/>
    <xf numFmtId="165" fontId="27" fillId="0" borderId="0" xfId="0" applyNumberFormat="1" applyFont="1" applyFill="1" applyBorder="1"/>
    <xf numFmtId="174" fontId="27" fillId="0" borderId="0" xfId="1" applyNumberFormat="1" applyFont="1" applyFill="1" applyBorder="1"/>
    <xf numFmtId="0" fontId="23" fillId="4" borderId="6" xfId="0" applyFont="1" applyFill="1" applyBorder="1"/>
    <xf numFmtId="166" fontId="23" fillId="0" borderId="19" xfId="0" applyNumberFormat="1" applyFont="1" applyBorder="1"/>
    <xf numFmtId="166" fontId="23" fillId="0" borderId="12" xfId="0" applyNumberFormat="1" applyFont="1" applyBorder="1"/>
    <xf numFmtId="0" fontId="23" fillId="4" borderId="2" xfId="0" applyFont="1" applyFill="1" applyBorder="1" applyAlignment="1"/>
    <xf numFmtId="0" fontId="30" fillId="0" borderId="0" xfId="0" applyFont="1" applyFill="1" applyBorder="1" applyAlignment="1">
      <alignment horizontal="left" indent="1"/>
    </xf>
    <xf numFmtId="168" fontId="22" fillId="0" borderId="8" xfId="0" applyNumberFormat="1" applyFont="1" applyFill="1" applyBorder="1" applyAlignment="1">
      <alignment horizontal="center"/>
    </xf>
    <xf numFmtId="168" fontId="22" fillId="0" borderId="6" xfId="0" applyNumberFormat="1" applyFont="1" applyFill="1" applyBorder="1" applyAlignment="1">
      <alignment horizontal="center"/>
    </xf>
    <xf numFmtId="168" fontId="22" fillId="0" borderId="20" xfId="0" applyNumberFormat="1" applyFont="1" applyFill="1" applyBorder="1" applyAlignment="1">
      <alignment horizontal="center"/>
    </xf>
    <xf numFmtId="168" fontId="22" fillId="0" borderId="19" xfId="0" applyNumberFormat="1" applyFont="1" applyFill="1" applyBorder="1" applyAlignment="1">
      <alignment horizontal="center"/>
    </xf>
    <xf numFmtId="168" fontId="22" fillId="0" borderId="12" xfId="0" applyNumberFormat="1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165" fontId="30" fillId="0" borderId="0" xfId="0" applyNumberFormat="1" applyFont="1" applyBorder="1" applyAlignment="1"/>
    <xf numFmtId="0" fontId="31" fillId="0" borderId="6" xfId="0" applyFont="1" applyFill="1" applyBorder="1"/>
    <xf numFmtId="168" fontId="27" fillId="5" borderId="1" xfId="0" applyNumberFormat="1" applyFont="1" applyFill="1" applyBorder="1" applyAlignment="1">
      <alignment horizontal="center"/>
    </xf>
    <xf numFmtId="176" fontId="30" fillId="0" borderId="0" xfId="1" applyNumberFormat="1" applyFont="1" applyFill="1" applyBorder="1"/>
    <xf numFmtId="170" fontId="30" fillId="0" borderId="0" xfId="1" applyNumberFormat="1" applyFont="1" applyFill="1" applyBorder="1"/>
    <xf numFmtId="168" fontId="30" fillId="7" borderId="11" xfId="0" applyNumberFormat="1" applyFont="1" applyFill="1" applyBorder="1" applyAlignment="1">
      <alignment horizontal="center"/>
    </xf>
    <xf numFmtId="176" fontId="30" fillId="0" borderId="0" xfId="1" applyNumberFormat="1" applyFont="1" applyFill="1" applyBorder="1" applyAlignment="1">
      <alignment horizontal="center"/>
    </xf>
    <xf numFmtId="41" fontId="27" fillId="5" borderId="1" xfId="0" applyNumberFormat="1" applyFont="1" applyFill="1" applyBorder="1"/>
    <xf numFmtId="0" fontId="29" fillId="0" borderId="6" xfId="0" applyFont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165" fontId="27" fillId="0" borderId="2" xfId="0" applyNumberFormat="1" applyFont="1" applyFill="1" applyBorder="1"/>
    <xf numFmtId="165" fontId="30" fillId="0" borderId="0" xfId="0" applyNumberFormat="1" applyFont="1" applyFill="1" applyBorder="1"/>
    <xf numFmtId="0" fontId="32" fillId="3" borderId="2" xfId="0" applyFont="1" applyFill="1" applyBorder="1" applyAlignment="1">
      <alignment horizontal="center"/>
    </xf>
    <xf numFmtId="170" fontId="38" fillId="5" borderId="1" xfId="1" applyNumberFormat="1" applyFont="1" applyFill="1" applyAlignment="1">
      <alignment horizontal="center"/>
    </xf>
    <xf numFmtId="165" fontId="31" fillId="0" borderId="0" xfId="0" applyNumberFormat="1" applyFont="1"/>
    <xf numFmtId="0" fontId="29" fillId="0" borderId="0" xfId="0" applyFont="1" applyFill="1" applyBorder="1" applyAlignment="1">
      <alignment horizontal="center"/>
    </xf>
    <xf numFmtId="3" fontId="27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/>
    <xf numFmtId="0" fontId="20" fillId="0" borderId="0" xfId="0" applyFont="1" applyBorder="1" applyAlignment="1"/>
    <xf numFmtId="0" fontId="20" fillId="4" borderId="2" xfId="0" applyFont="1" applyFill="1" applyBorder="1"/>
    <xf numFmtId="0" fontId="20" fillId="0" borderId="0" xfId="0" applyFont="1" applyAlignment="1">
      <alignment horizontal="left" indent="1"/>
    </xf>
    <xf numFmtId="0" fontId="20" fillId="0" borderId="6" xfId="0" applyFont="1" applyBorder="1"/>
    <xf numFmtId="165" fontId="20" fillId="0" borderId="0" xfId="0" applyNumberFormat="1" applyFont="1"/>
    <xf numFmtId="0" fontId="20" fillId="0" borderId="2" xfId="0" applyFont="1" applyBorder="1" applyAlignment="1">
      <alignment horizontal="left" indent="1"/>
    </xf>
    <xf numFmtId="0" fontId="20" fillId="0" borderId="2" xfId="0" applyFont="1" applyBorder="1"/>
    <xf numFmtId="0" fontId="20" fillId="0" borderId="0" xfId="0" applyFont="1" applyFill="1" applyBorder="1" applyAlignment="1"/>
    <xf numFmtId="173" fontId="20" fillId="0" borderId="0" xfId="0" applyNumberFormat="1" applyFont="1"/>
    <xf numFmtId="43" fontId="20" fillId="0" borderId="0" xfId="0" applyNumberFormat="1" applyFont="1"/>
    <xf numFmtId="169" fontId="20" fillId="0" borderId="0" xfId="0" applyNumberFormat="1" applyFont="1"/>
    <xf numFmtId="0" fontId="20" fillId="0" borderId="0" xfId="0" applyFont="1" applyBorder="1"/>
    <xf numFmtId="42" fontId="20" fillId="0" borderId="0" xfId="0" applyNumberFormat="1" applyFont="1"/>
    <xf numFmtId="0" fontId="20" fillId="0" borderId="0" xfId="0" applyFont="1" applyAlignment="1"/>
    <xf numFmtId="0" fontId="30" fillId="0" borderId="0" xfId="0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/>
    <xf numFmtId="170" fontId="27" fillId="5" borderId="1" xfId="1" applyNumberFormat="1" applyFont="1" applyFill="1" applyBorder="1" applyAlignment="1">
      <alignment horizontal="center"/>
    </xf>
    <xf numFmtId="165" fontId="20" fillId="0" borderId="0" xfId="0" applyNumberFormat="1" applyFont="1" applyFill="1"/>
    <xf numFmtId="0" fontId="30" fillId="0" borderId="2" xfId="0" applyFont="1" applyFill="1" applyBorder="1" applyAlignment="1">
      <alignment horizontal="left" indent="1"/>
    </xf>
    <xf numFmtId="0" fontId="20" fillId="0" borderId="2" xfId="0" applyFont="1" applyFill="1" applyBorder="1"/>
    <xf numFmtId="165" fontId="28" fillId="0" borderId="2" xfId="0" applyNumberFormat="1" applyFont="1" applyFill="1" applyBorder="1"/>
    <xf numFmtId="165" fontId="23" fillId="0" borderId="0" xfId="0" applyNumberFormat="1" applyFont="1" applyFill="1" applyBorder="1"/>
    <xf numFmtId="165" fontId="20" fillId="0" borderId="0" xfId="0" applyNumberFormat="1" applyFont="1" applyFill="1" applyAlignment="1"/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165" fontId="20" fillId="0" borderId="2" xfId="0" applyNumberFormat="1" applyFont="1" applyFill="1" applyBorder="1"/>
    <xf numFmtId="0" fontId="30" fillId="0" borderId="0" xfId="0" applyFont="1" applyBorder="1"/>
    <xf numFmtId="42" fontId="20" fillId="0" borderId="0" xfId="0" applyNumberFormat="1" applyFont="1" applyBorder="1"/>
    <xf numFmtId="0" fontId="20" fillId="4" borderId="9" xfId="0" applyFont="1" applyFill="1" applyBorder="1"/>
    <xf numFmtId="179" fontId="20" fillId="0" borderId="0" xfId="0" applyNumberFormat="1" applyFont="1" applyFill="1" applyBorder="1"/>
    <xf numFmtId="0" fontId="20" fillId="0" borderId="19" xfId="0" applyFont="1" applyBorder="1"/>
    <xf numFmtId="0" fontId="20" fillId="0" borderId="12" xfId="0" applyFont="1" applyBorder="1"/>
    <xf numFmtId="165" fontId="20" fillId="0" borderId="19" xfId="0" applyNumberFormat="1" applyFont="1" applyBorder="1"/>
    <xf numFmtId="165" fontId="20" fillId="0" borderId="0" xfId="0" applyNumberFormat="1" applyFont="1" applyBorder="1"/>
    <xf numFmtId="165" fontId="20" fillId="0" borderId="12" xfId="0" applyNumberFormat="1" applyFont="1" applyBorder="1"/>
    <xf numFmtId="173" fontId="20" fillId="0" borderId="0" xfId="0" applyNumberFormat="1" applyFont="1" applyBorder="1"/>
    <xf numFmtId="165" fontId="20" fillId="0" borderId="2" xfId="0" applyNumberFormat="1" applyFont="1" applyBorder="1"/>
    <xf numFmtId="0" fontId="20" fillId="4" borderId="21" xfId="0" applyFont="1" applyFill="1" applyBorder="1"/>
    <xf numFmtId="0" fontId="20" fillId="4" borderId="14" xfId="0" applyFont="1" applyFill="1" applyBorder="1"/>
    <xf numFmtId="0" fontId="20" fillId="0" borderId="0" xfId="0" applyFont="1" applyAlignment="1">
      <alignment horizontal="left"/>
    </xf>
    <xf numFmtId="172" fontId="20" fillId="0" borderId="0" xfId="0" applyNumberFormat="1" applyFont="1"/>
    <xf numFmtId="0" fontId="20" fillId="0" borderId="21" xfId="0" applyFont="1" applyBorder="1"/>
    <xf numFmtId="0" fontId="20" fillId="0" borderId="14" xfId="0" applyFont="1" applyBorder="1"/>
    <xf numFmtId="0" fontId="20" fillId="0" borderId="8" xfId="0" applyFont="1" applyBorder="1"/>
    <xf numFmtId="0" fontId="20" fillId="0" borderId="20" xfId="0" applyFont="1" applyBorder="1"/>
    <xf numFmtId="165" fontId="20" fillId="4" borderId="9" xfId="0" applyNumberFormat="1" applyFont="1" applyFill="1" applyBorder="1"/>
    <xf numFmtId="165" fontId="20" fillId="4" borderId="18" xfId="0" applyNumberFormat="1" applyFont="1" applyFill="1" applyBorder="1"/>
    <xf numFmtId="165" fontId="20" fillId="4" borderId="10" xfId="0" applyNumberFormat="1" applyFont="1" applyFill="1" applyBorder="1"/>
    <xf numFmtId="165" fontId="20" fillId="0" borderId="0" xfId="0" applyNumberFormat="1" applyFont="1" applyFill="1" applyBorder="1"/>
    <xf numFmtId="165" fontId="20" fillId="0" borderId="19" xfId="0" applyNumberFormat="1" applyFont="1" applyFill="1" applyBorder="1"/>
    <xf numFmtId="165" fontId="20" fillId="0" borderId="12" xfId="0" applyNumberFormat="1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0" xfId="0" applyFont="1" applyAlignment="1">
      <alignment horizontal="left" indent="2"/>
    </xf>
    <xf numFmtId="177" fontId="20" fillId="0" borderId="0" xfId="0" applyNumberFormat="1" applyFont="1"/>
    <xf numFmtId="167" fontId="30" fillId="0" borderId="0" xfId="1" applyNumberFormat="1" applyFont="1" applyFill="1" applyBorder="1"/>
    <xf numFmtId="180" fontId="38" fillId="5" borderId="1" xfId="1" applyNumberFormat="1" applyFont="1" applyFill="1" applyAlignment="1"/>
    <xf numFmtId="180" fontId="30" fillId="0" borderId="0" xfId="1" applyNumberFormat="1" applyFont="1" applyFill="1" applyBorder="1"/>
    <xf numFmtId="170" fontId="27" fillId="5" borderId="1" xfId="1" applyNumberFormat="1" applyFont="1" applyFill="1" applyAlignment="1">
      <alignment horizontal="center"/>
    </xf>
    <xf numFmtId="176" fontId="27" fillId="5" borderId="1" xfId="1" applyNumberFormat="1" applyFont="1" applyFill="1" applyAlignment="1">
      <alignment horizontal="center"/>
    </xf>
    <xf numFmtId="0" fontId="29" fillId="8" borderId="0" xfId="0" applyFont="1" applyFill="1" applyBorder="1" applyAlignment="1">
      <alignment horizontal="center"/>
    </xf>
    <xf numFmtId="165" fontId="20" fillId="8" borderId="0" xfId="0" applyNumberFormat="1" applyFont="1" applyFill="1" applyBorder="1"/>
    <xf numFmtId="165" fontId="20" fillId="8" borderId="12" xfId="0" applyNumberFormat="1" applyFont="1" applyFill="1" applyBorder="1"/>
    <xf numFmtId="165" fontId="20" fillId="0" borderId="6" xfId="0" applyNumberFormat="1" applyFont="1" applyBorder="1"/>
    <xf numFmtId="0" fontId="18" fillId="0" borderId="0" xfId="0" applyFont="1"/>
    <xf numFmtId="0" fontId="18" fillId="0" borderId="0" xfId="0" applyFont="1" applyAlignment="1">
      <alignment horizontal="left" indent="1"/>
    </xf>
    <xf numFmtId="165" fontId="18" fillId="0" borderId="0" xfId="0" applyNumberFormat="1" applyFont="1"/>
    <xf numFmtId="169" fontId="27" fillId="5" borderId="1" xfId="0" applyNumberFormat="1" applyFont="1" applyFill="1" applyBorder="1" applyAlignment="1">
      <alignment horizontal="center"/>
    </xf>
    <xf numFmtId="169" fontId="27" fillId="5" borderId="16" xfId="0" applyNumberFormat="1" applyFont="1" applyFill="1" applyBorder="1" applyAlignment="1">
      <alignment horizontal="center"/>
    </xf>
    <xf numFmtId="169" fontId="23" fillId="0" borderId="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indent="1"/>
    </xf>
    <xf numFmtId="0" fontId="29" fillId="8" borderId="6" xfId="0" applyFont="1" applyFill="1" applyBorder="1" applyAlignment="1">
      <alignment horizontal="center"/>
    </xf>
    <xf numFmtId="165" fontId="30" fillId="8" borderId="6" xfId="0" applyNumberFormat="1" applyFont="1" applyFill="1" applyBorder="1"/>
    <xf numFmtId="165" fontId="30" fillId="8" borderId="0" xfId="0" applyNumberFormat="1" applyFont="1" applyFill="1" applyBorder="1"/>
    <xf numFmtId="0" fontId="29" fillId="8" borderId="2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left" indent="1"/>
    </xf>
    <xf numFmtId="0" fontId="29" fillId="8" borderId="9" xfId="0" applyFont="1" applyFill="1" applyBorder="1" applyAlignment="1">
      <alignment horizontal="center"/>
    </xf>
    <xf numFmtId="165" fontId="27" fillId="8" borderId="9" xfId="0" applyNumberFormat="1" applyFont="1" applyFill="1" applyBorder="1"/>
    <xf numFmtId="169" fontId="23" fillId="0" borderId="0" xfId="0" applyNumberFormat="1" applyFont="1" applyBorder="1" applyAlignment="1">
      <alignment horizontal="center"/>
    </xf>
    <xf numFmtId="0" fontId="40" fillId="0" borderId="0" xfId="0" applyFont="1"/>
    <xf numFmtId="3" fontId="30" fillId="0" borderId="0" xfId="0" applyNumberFormat="1" applyFont="1" applyFill="1" applyBorder="1"/>
    <xf numFmtId="0" fontId="17" fillId="0" borderId="0" xfId="0" applyFont="1" applyAlignment="1">
      <alignment horizontal="left"/>
    </xf>
    <xf numFmtId="0" fontId="29" fillId="4" borderId="2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165" fontId="30" fillId="5" borderId="1" xfId="0" applyNumberFormat="1" applyFont="1" applyFill="1" applyBorder="1"/>
    <xf numFmtId="9" fontId="20" fillId="0" borderId="0" xfId="0" applyNumberFormat="1" applyFont="1"/>
    <xf numFmtId="168" fontId="23" fillId="4" borderId="2" xfId="0" applyNumberFormat="1" applyFont="1" applyFill="1" applyBorder="1" applyAlignment="1">
      <alignment horizontal="center"/>
    </xf>
    <xf numFmtId="174" fontId="27" fillId="0" borderId="23" xfId="1" applyNumberFormat="1" applyFont="1" applyFill="1" applyBorder="1"/>
    <xf numFmtId="165" fontId="27" fillId="8" borderId="2" xfId="0" applyNumberFormat="1" applyFont="1" applyFill="1" applyBorder="1"/>
    <xf numFmtId="170" fontId="30" fillId="5" borderId="1" xfId="0" applyNumberFormat="1" applyFont="1" applyFill="1" applyBorder="1"/>
    <xf numFmtId="165" fontId="17" fillId="0" borderId="0" xfId="0" applyNumberFormat="1" applyFont="1"/>
    <xf numFmtId="0" fontId="17" fillId="0" borderId="0" xfId="0" applyFont="1" applyAlignment="1">
      <alignment horizontal="left" indent="1"/>
    </xf>
    <xf numFmtId="169" fontId="30" fillId="0" borderId="0" xfId="0" applyNumberFormat="1" applyFont="1" applyFill="1" applyBorder="1" applyAlignment="1">
      <alignment horizontal="center"/>
    </xf>
    <xf numFmtId="170" fontId="28" fillId="0" borderId="17" xfId="1" applyNumberFormat="1" applyFont="1" applyFill="1" applyBorder="1" applyAlignment="1">
      <alignment horizontal="center"/>
    </xf>
    <xf numFmtId="170" fontId="28" fillId="0" borderId="7" xfId="1" applyNumberFormat="1" applyFont="1" applyFill="1" applyBorder="1" applyAlignment="1">
      <alignment horizontal="center"/>
    </xf>
    <xf numFmtId="170" fontId="28" fillId="0" borderId="0" xfId="1" applyNumberFormat="1" applyFont="1" applyFill="1" applyBorder="1" applyAlignment="1">
      <alignment horizontal="center"/>
    </xf>
    <xf numFmtId="170" fontId="20" fillId="0" borderId="2" xfId="1" applyNumberFormat="1" applyFont="1" applyFill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69" fontId="30" fillId="0" borderId="6" xfId="0" applyNumberFormat="1" applyFont="1" applyFill="1" applyBorder="1" applyAlignment="1">
      <alignment horizontal="center"/>
    </xf>
    <xf numFmtId="169" fontId="31" fillId="0" borderId="6" xfId="0" applyNumberFormat="1" applyFont="1" applyFill="1" applyBorder="1" applyAlignment="1">
      <alignment horizontal="center"/>
    </xf>
    <xf numFmtId="175" fontId="29" fillId="0" borderId="12" xfId="0" applyNumberFormat="1" applyFont="1" applyBorder="1"/>
    <xf numFmtId="0" fontId="16" fillId="0" borderId="0" xfId="0" applyFont="1"/>
    <xf numFmtId="37" fontId="27" fillId="5" borderId="1" xfId="0" applyNumberFormat="1" applyFont="1" applyFill="1" applyBorder="1" applyAlignment="1">
      <alignment horizontal="center"/>
    </xf>
    <xf numFmtId="165" fontId="16" fillId="0" borderId="0" xfId="0" applyNumberFormat="1" applyFont="1"/>
    <xf numFmtId="169" fontId="30" fillId="0" borderId="21" xfId="0" applyNumberFormat="1" applyFont="1" applyFill="1" applyBorder="1"/>
    <xf numFmtId="169" fontId="30" fillId="5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/>
    <xf numFmtId="0" fontId="20" fillId="8" borderId="0" xfId="0" applyFont="1" applyFill="1" applyBorder="1"/>
    <xf numFmtId="0" fontId="20" fillId="8" borderId="12" xfId="0" applyFont="1" applyFill="1" applyBorder="1"/>
    <xf numFmtId="0" fontId="20" fillId="8" borderId="6" xfId="0" applyFont="1" applyFill="1" applyBorder="1"/>
    <xf numFmtId="0" fontId="20" fillId="8" borderId="20" xfId="0" applyFont="1" applyFill="1" applyBorder="1"/>
    <xf numFmtId="165" fontId="20" fillId="8" borderId="6" xfId="0" applyNumberFormat="1" applyFont="1" applyFill="1" applyBorder="1"/>
    <xf numFmtId="0" fontId="20" fillId="8" borderId="2" xfId="0" applyFont="1" applyFill="1" applyBorder="1"/>
    <xf numFmtId="0" fontId="20" fillId="8" borderId="14" xfId="0" applyFont="1" applyFill="1" applyBorder="1"/>
    <xf numFmtId="165" fontId="20" fillId="8" borderId="2" xfId="0" applyNumberFormat="1" applyFont="1" applyFill="1" applyBorder="1"/>
    <xf numFmtId="177" fontId="27" fillId="4" borderId="9" xfId="2" applyNumberFormat="1" applyFont="1" applyFill="1" applyBorder="1" applyAlignment="1">
      <alignment horizontal="center"/>
    </xf>
    <xf numFmtId="177" fontId="30" fillId="4" borderId="9" xfId="2" applyNumberFormat="1" applyFont="1" applyFill="1" applyBorder="1" applyAlignment="1">
      <alignment horizontal="center"/>
    </xf>
    <xf numFmtId="177" fontId="30" fillId="4" borderId="10" xfId="2" applyNumberFormat="1" applyFont="1" applyFill="1" applyBorder="1" applyAlignment="1">
      <alignment horizontal="center"/>
    </xf>
    <xf numFmtId="170" fontId="36" fillId="0" borderId="0" xfId="1" applyNumberFormat="1" applyFont="1" applyFill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169" fontId="30" fillId="0" borderId="2" xfId="0" applyNumberFormat="1" applyFont="1" applyFill="1" applyBorder="1" applyAlignment="1">
      <alignment horizontal="center"/>
    </xf>
    <xf numFmtId="165" fontId="20" fillId="0" borderId="2" xfId="1" applyNumberFormat="1" applyFont="1" applyFill="1" applyBorder="1"/>
    <xf numFmtId="0" fontId="12" fillId="0" borderId="0" xfId="0" applyFont="1" applyFill="1" applyBorder="1"/>
    <xf numFmtId="180" fontId="38" fillId="5" borderId="22" xfId="1" applyNumberFormat="1" applyFont="1" applyFill="1" applyBorder="1" applyAlignment="1"/>
    <xf numFmtId="0" fontId="11" fillId="0" borderId="0" xfId="0" applyFont="1" applyFill="1" applyBorder="1"/>
    <xf numFmtId="0" fontId="11" fillId="0" borderId="0" xfId="0" applyFont="1"/>
    <xf numFmtId="0" fontId="11" fillId="0" borderId="0" xfId="0" quotePrefix="1" applyFont="1" applyFill="1" applyBorder="1"/>
    <xf numFmtId="0" fontId="11" fillId="0" borderId="0" xfId="0" quotePrefix="1" applyFont="1"/>
    <xf numFmtId="168" fontId="30" fillId="7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quotePrefix="1" applyFont="1" applyFill="1" applyBorder="1"/>
    <xf numFmtId="178" fontId="23" fillId="0" borderId="0" xfId="0" applyNumberFormat="1" applyFont="1" applyFill="1" applyBorder="1"/>
    <xf numFmtId="168" fontId="22" fillId="6" borderId="0" xfId="0" applyNumberFormat="1" applyFont="1" applyFill="1" applyBorder="1" applyAlignment="1">
      <alignment horizontal="center"/>
    </xf>
    <xf numFmtId="180" fontId="30" fillId="0" borderId="23" xfId="1" applyNumberFormat="1" applyFont="1" applyFill="1" applyBorder="1"/>
    <xf numFmtId="0" fontId="20" fillId="0" borderId="23" xfId="0" applyFont="1" applyFill="1" applyBorder="1"/>
    <xf numFmtId="180" fontId="38" fillId="5" borderId="1" xfId="1" applyNumberFormat="1" applyFont="1" applyFill="1" applyBorder="1" applyAlignment="1"/>
    <xf numFmtId="170" fontId="30" fillId="5" borderId="26" xfId="0" applyNumberFormat="1" applyFont="1" applyFill="1" applyBorder="1"/>
    <xf numFmtId="0" fontId="16" fillId="0" borderId="0" xfId="0" applyFont="1" applyFill="1" applyBorder="1" applyAlignment="1">
      <alignment horizontal="left" indent="1"/>
    </xf>
    <xf numFmtId="165" fontId="16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181" fontId="27" fillId="0" borderId="0" xfId="0" applyNumberFormat="1" applyFont="1"/>
    <xf numFmtId="181" fontId="37" fillId="0" borderId="0" xfId="0" applyNumberFormat="1" applyFont="1"/>
    <xf numFmtId="0" fontId="9" fillId="0" borderId="0" xfId="0" applyFont="1" applyAlignment="1">
      <alignment horizontal="left" indent="1"/>
    </xf>
    <xf numFmtId="181" fontId="23" fillId="0" borderId="0" xfId="0" applyNumberFormat="1" applyFont="1"/>
    <xf numFmtId="0" fontId="19" fillId="0" borderId="0" xfId="0" applyFont="1" applyFill="1" applyBorder="1" applyAlignment="1">
      <alignment horizontal="left" indent="1"/>
    </xf>
    <xf numFmtId="165" fontId="31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/>
    <xf numFmtId="0" fontId="8" fillId="0" borderId="0" xfId="0" applyFont="1"/>
    <xf numFmtId="181" fontId="30" fillId="0" borderId="0" xfId="0" applyNumberFormat="1" applyFont="1"/>
    <xf numFmtId="182" fontId="30" fillId="0" borderId="0" xfId="0" applyNumberFormat="1" applyFont="1" applyFill="1" applyBorder="1"/>
    <xf numFmtId="0" fontId="8" fillId="0" borderId="0" xfId="0" applyFont="1" applyAlignment="1">
      <alignment horizontal="left"/>
    </xf>
    <xf numFmtId="9" fontId="20" fillId="0" borderId="0" xfId="0" applyNumberFormat="1" applyFont="1" applyFill="1" applyBorder="1"/>
    <xf numFmtId="3" fontId="27" fillId="5" borderId="27" xfId="0" applyNumberFormat="1" applyFont="1" applyFill="1" applyBorder="1"/>
    <xf numFmtId="181" fontId="31" fillId="0" borderId="0" xfId="0" applyNumberFormat="1" applyFont="1"/>
    <xf numFmtId="0" fontId="8" fillId="0" borderId="0" xfId="0" applyFont="1" applyAlignment="1">
      <alignment horizontal="left" indent="1"/>
    </xf>
    <xf numFmtId="183" fontId="30" fillId="0" borderId="0" xfId="0" applyNumberFormat="1" applyFont="1"/>
    <xf numFmtId="184" fontId="20" fillId="0" borderId="0" xfId="0" applyNumberFormat="1" applyFont="1" applyFill="1" applyBorder="1"/>
    <xf numFmtId="184" fontId="27" fillId="5" borderId="1" xfId="0" applyNumberFormat="1" applyFont="1" applyFill="1" applyBorder="1"/>
    <xf numFmtId="181" fontId="27" fillId="5" borderId="27" xfId="0" applyNumberFormat="1" applyFont="1" applyFill="1" applyBorder="1"/>
    <xf numFmtId="165" fontId="27" fillId="5" borderId="27" xfId="0" applyNumberFormat="1" applyFont="1" applyFill="1" applyBorder="1"/>
    <xf numFmtId="3" fontId="27" fillId="0" borderId="28" xfId="0" applyNumberFormat="1" applyFont="1" applyFill="1" applyBorder="1"/>
    <xf numFmtId="4" fontId="30" fillId="0" borderId="0" xfId="0" applyNumberFormat="1" applyFont="1" applyFill="1" applyBorder="1"/>
    <xf numFmtId="4" fontId="27" fillId="0" borderId="0" xfId="0" applyNumberFormat="1" applyFont="1" applyFill="1" applyBorder="1"/>
    <xf numFmtId="0" fontId="23" fillId="0" borderId="6" xfId="0" applyFont="1" applyFill="1" applyBorder="1"/>
    <xf numFmtId="4" fontId="23" fillId="0" borderId="6" xfId="0" applyNumberFormat="1" applyFont="1" applyFill="1" applyBorder="1"/>
    <xf numFmtId="0" fontId="41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82" fontId="30" fillId="5" borderId="27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165" fontId="31" fillId="0" borderId="6" xfId="0" applyNumberFormat="1" applyFont="1" applyFill="1" applyBorder="1"/>
    <xf numFmtId="9" fontId="30" fillId="0" borderId="0" xfId="0" applyNumberFormat="1" applyFont="1"/>
    <xf numFmtId="180" fontId="39" fillId="5" borderId="1" xfId="1" applyNumberFormat="1" applyFont="1" applyFill="1" applyAlignment="1"/>
    <xf numFmtId="0" fontId="7" fillId="0" borderId="0" xfId="0" applyFont="1" applyBorder="1" applyAlignment="1">
      <alignment horizontal="left"/>
    </xf>
    <xf numFmtId="170" fontId="27" fillId="5" borderId="26" xfId="0" applyNumberFormat="1" applyFont="1" applyFill="1" applyBorder="1"/>
    <xf numFmtId="170" fontId="27" fillId="5" borderId="1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9" fontId="23" fillId="0" borderId="0" xfId="0" applyNumberFormat="1" applyFont="1"/>
    <xf numFmtId="49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181" fontId="23" fillId="4" borderId="2" xfId="0" applyNumberFormat="1" applyFont="1" applyFill="1" applyBorder="1"/>
    <xf numFmtId="181" fontId="23" fillId="4" borderId="6" xfId="0" applyNumberFormat="1" applyFont="1" applyFill="1" applyBorder="1"/>
    <xf numFmtId="165" fontId="44" fillId="0" borderId="0" xfId="0" applyNumberFormat="1" applyFont="1"/>
    <xf numFmtId="181" fontId="6" fillId="0" borderId="6" xfId="0" applyNumberFormat="1" applyFont="1" applyFill="1" applyBorder="1"/>
    <xf numFmtId="0" fontId="27" fillId="5" borderId="1" xfId="1" applyFont="1" applyFill="1" applyBorder="1" applyAlignment="1">
      <alignment horizontal="centerContinuous"/>
    </xf>
    <xf numFmtId="181" fontId="38" fillId="5" borderId="1" xfId="1" applyNumberFormat="1" applyFont="1" applyFill="1" applyAlignment="1"/>
    <xf numFmtId="0" fontId="20" fillId="0" borderId="7" xfId="0" applyFont="1" applyBorder="1"/>
    <xf numFmtId="176" fontId="27" fillId="0" borderId="0" xfId="1" applyNumberFormat="1" applyFont="1" applyFill="1" applyBorder="1" applyAlignment="1">
      <alignment horizontal="center"/>
    </xf>
    <xf numFmtId="170" fontId="27" fillId="0" borderId="0" xfId="1" applyNumberFormat="1" applyFont="1" applyFill="1" applyBorder="1" applyAlignment="1">
      <alignment horizontal="center"/>
    </xf>
    <xf numFmtId="176" fontId="27" fillId="5" borderId="1" xfId="1" applyNumberFormat="1" applyFont="1" applyFill="1" applyBorder="1" applyAlignment="1">
      <alignment horizontal="center"/>
    </xf>
    <xf numFmtId="181" fontId="23" fillId="0" borderId="6" xfId="0" applyNumberFormat="1" applyFont="1" applyFill="1" applyBorder="1"/>
    <xf numFmtId="165" fontId="38" fillId="0" borderId="25" xfId="1" applyNumberFormat="1" applyFont="1" applyFill="1" applyBorder="1" applyAlignment="1"/>
    <xf numFmtId="164" fontId="30" fillId="5" borderId="1" xfId="0" applyNumberFormat="1" applyFont="1" applyFill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85" fontId="6" fillId="0" borderId="0" xfId="0" applyNumberFormat="1" applyFont="1" applyAlignment="1">
      <alignment horizontal="center"/>
    </xf>
    <xf numFmtId="164" fontId="22" fillId="6" borderId="29" xfId="0" applyNumberFormat="1" applyFont="1" applyFill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5" fillId="0" borderId="0" xfId="0" applyFont="1"/>
    <xf numFmtId="0" fontId="25" fillId="3" borderId="0" xfId="0" applyFont="1" applyFill="1" applyBorder="1" applyAlignment="1"/>
    <xf numFmtId="168" fontId="22" fillId="6" borderId="32" xfId="0" applyNumberFormat="1" applyFont="1" applyFill="1" applyBorder="1" applyAlignment="1">
      <alignment horizontal="center"/>
    </xf>
    <xf numFmtId="181" fontId="31" fillId="0" borderId="12" xfId="0" applyNumberFormat="1" applyFont="1" applyBorder="1"/>
    <xf numFmtId="9" fontId="30" fillId="0" borderId="12" xfId="0" applyNumberFormat="1" applyFont="1" applyBorder="1"/>
    <xf numFmtId="181" fontId="23" fillId="0" borderId="12" xfId="0" applyNumberFormat="1" applyFont="1" applyBorder="1"/>
    <xf numFmtId="0" fontId="5" fillId="0" borderId="0" xfId="0" applyFont="1" applyAlignment="1">
      <alignment horizontal="left" indent="1"/>
    </xf>
    <xf numFmtId="0" fontId="16" fillId="8" borderId="0" xfId="0" applyFont="1" applyFill="1" applyBorder="1" applyAlignment="1">
      <alignment horizontal="left" indent="1"/>
    </xf>
    <xf numFmtId="0" fontId="5" fillId="8" borderId="0" xfId="0" applyFont="1" applyFill="1" applyBorder="1" applyAlignment="1">
      <alignment horizontal="left" indent="1"/>
    </xf>
    <xf numFmtId="0" fontId="16" fillId="8" borderId="6" xfId="0" applyFont="1" applyFill="1" applyBorder="1" applyAlignment="1">
      <alignment horizontal="left" indent="1"/>
    </xf>
    <xf numFmtId="165" fontId="20" fillId="8" borderId="20" xfId="0" applyNumberFormat="1" applyFont="1" applyFill="1" applyBorder="1"/>
    <xf numFmtId="0" fontId="9" fillId="8" borderId="2" xfId="0" applyFont="1" applyFill="1" applyBorder="1" applyAlignment="1">
      <alignment horizontal="left" indent="1"/>
    </xf>
    <xf numFmtId="165" fontId="20" fillId="8" borderId="14" xfId="0" applyNumberFormat="1" applyFont="1" applyFill="1" applyBorder="1"/>
    <xf numFmtId="181" fontId="45" fillId="0" borderId="0" xfId="0" applyNumberFormat="1" applyFont="1"/>
    <xf numFmtId="165" fontId="36" fillId="0" borderId="6" xfId="0" applyNumberFormat="1" applyFont="1" applyBorder="1"/>
    <xf numFmtId="165" fontId="36" fillId="0" borderId="20" xfId="0" applyNumberFormat="1" applyFont="1" applyBorder="1"/>
    <xf numFmtId="165" fontId="36" fillId="0" borderId="0" xfId="0" applyNumberFormat="1" applyFont="1"/>
    <xf numFmtId="165" fontId="36" fillId="0" borderId="12" xfId="0" applyNumberFormat="1" applyFont="1" applyBorder="1"/>
    <xf numFmtId="165" fontId="44" fillId="0" borderId="0" xfId="0" applyNumberFormat="1" applyFont="1" applyFill="1" applyBorder="1"/>
    <xf numFmtId="165" fontId="44" fillId="0" borderId="12" xfId="0" applyNumberFormat="1" applyFont="1" applyFill="1" applyBorder="1"/>
    <xf numFmtId="165" fontId="44" fillId="0" borderId="2" xfId="0" applyNumberFormat="1" applyFont="1" applyBorder="1"/>
    <xf numFmtId="181" fontId="36" fillId="0" borderId="0" xfId="0" applyNumberFormat="1" applyFont="1"/>
    <xf numFmtId="181" fontId="36" fillId="0" borderId="20" xfId="0" applyNumberFormat="1" applyFont="1" applyBorder="1"/>
    <xf numFmtId="165" fontId="28" fillId="0" borderId="0" xfId="0" applyNumberFormat="1" applyFont="1"/>
    <xf numFmtId="165" fontId="44" fillId="8" borderId="6" xfId="0" applyNumberFormat="1" applyFont="1" applyFill="1" applyBorder="1"/>
    <xf numFmtId="165" fontId="44" fillId="8" borderId="2" xfId="0" applyNumberFormat="1" applyFont="1" applyFill="1" applyBorder="1"/>
    <xf numFmtId="0" fontId="30" fillId="0" borderId="12" xfId="0" applyFont="1" applyBorder="1"/>
    <xf numFmtId="165" fontId="30" fillId="0" borderId="12" xfId="0" applyNumberFormat="1" applyFont="1" applyBorder="1"/>
    <xf numFmtId="165" fontId="30" fillId="0" borderId="14" xfId="0" applyNumberFormat="1" applyFont="1" applyBorder="1"/>
    <xf numFmtId="165" fontId="30" fillId="0" borderId="2" xfId="0" applyNumberFormat="1" applyFont="1" applyBorder="1"/>
    <xf numFmtId="181" fontId="44" fillId="0" borderId="0" xfId="0" applyNumberFormat="1" applyFont="1"/>
    <xf numFmtId="165" fontId="28" fillId="0" borderId="2" xfId="0" applyNumberFormat="1" applyFont="1" applyBorder="1"/>
    <xf numFmtId="181" fontId="28" fillId="0" borderId="0" xfId="0" applyNumberFormat="1" applyFont="1"/>
    <xf numFmtId="165" fontId="45" fillId="0" borderId="0" xfId="0" applyNumberFormat="1" applyFont="1" applyFill="1" applyBorder="1"/>
    <xf numFmtId="165" fontId="44" fillId="8" borderId="0" xfId="0" applyNumberFormat="1" applyFont="1" applyFill="1" applyBorder="1"/>
    <xf numFmtId="165" fontId="28" fillId="0" borderId="12" xfId="0" applyNumberFormat="1" applyFont="1" applyBorder="1"/>
    <xf numFmtId="165" fontId="30" fillId="0" borderId="12" xfId="0" applyNumberFormat="1" applyFont="1" applyFill="1" applyBorder="1"/>
    <xf numFmtId="165" fontId="28" fillId="0" borderId="14" xfId="0" applyNumberFormat="1" applyFont="1" applyBorder="1"/>
    <xf numFmtId="165" fontId="31" fillId="0" borderId="12" xfId="0" applyNumberFormat="1" applyFont="1" applyFill="1" applyBorder="1"/>
    <xf numFmtId="181" fontId="28" fillId="0" borderId="14" xfId="0" applyNumberFormat="1" applyFont="1" applyBorder="1"/>
    <xf numFmtId="165" fontId="23" fillId="7" borderId="18" xfId="0" applyNumberFormat="1" applyFont="1" applyFill="1" applyBorder="1"/>
    <xf numFmtId="165" fontId="23" fillId="7" borderId="9" xfId="0" applyNumberFormat="1" applyFont="1" applyFill="1" applyBorder="1"/>
    <xf numFmtId="165" fontId="23" fillId="7" borderId="10" xfId="0" applyNumberFormat="1" applyFont="1" applyFill="1" applyBorder="1"/>
    <xf numFmtId="165" fontId="23" fillId="0" borderId="21" xfId="0" applyNumberFormat="1" applyFont="1" applyBorder="1"/>
    <xf numFmtId="165" fontId="23" fillId="0" borderId="2" xfId="0" applyNumberFormat="1" applyFont="1" applyBorder="1"/>
    <xf numFmtId="165" fontId="23" fillId="0" borderId="14" xfId="0" applyNumberFormat="1" applyFont="1" applyBorder="1"/>
    <xf numFmtId="165" fontId="23" fillId="7" borderId="21" xfId="0" applyNumberFormat="1" applyFont="1" applyFill="1" applyBorder="1"/>
    <xf numFmtId="165" fontId="23" fillId="7" borderId="2" xfId="0" applyNumberFormat="1" applyFont="1" applyFill="1" applyBorder="1"/>
    <xf numFmtId="165" fontId="23" fillId="7" borderId="14" xfId="0" applyNumberFormat="1" applyFont="1" applyFill="1" applyBorder="1"/>
    <xf numFmtId="165" fontId="23" fillId="8" borderId="19" xfId="0" applyNumberFormat="1" applyFont="1" applyFill="1" applyBorder="1"/>
    <xf numFmtId="165" fontId="23" fillId="8" borderId="0" xfId="0" applyNumberFormat="1" applyFont="1" applyFill="1" applyBorder="1"/>
    <xf numFmtId="165" fontId="23" fillId="8" borderId="12" xfId="0" applyNumberFormat="1" applyFont="1" applyFill="1" applyBorder="1"/>
    <xf numFmtId="165" fontId="27" fillId="0" borderId="19" xfId="0" applyNumberFormat="1" applyFont="1" applyFill="1" applyBorder="1"/>
    <xf numFmtId="165" fontId="27" fillId="0" borderId="21" xfId="0" applyNumberFormat="1" applyFont="1" applyFill="1" applyBorder="1"/>
    <xf numFmtId="0" fontId="23" fillId="7" borderId="18" xfId="0" applyFont="1" applyFill="1" applyBorder="1"/>
    <xf numFmtId="0" fontId="23" fillId="7" borderId="21" xfId="0" applyFont="1" applyFill="1" applyBorder="1"/>
    <xf numFmtId="165" fontId="5" fillId="0" borderId="0" xfId="0" applyNumberFormat="1" applyFont="1" applyBorder="1"/>
    <xf numFmtId="165" fontId="27" fillId="5" borderId="33" xfId="0" applyNumberFormat="1" applyFont="1" applyFill="1" applyBorder="1"/>
    <xf numFmtId="0" fontId="20" fillId="8" borderId="9" xfId="0" applyFont="1" applyFill="1" applyBorder="1" applyAlignment="1">
      <alignment horizontal="left" indent="1"/>
    </xf>
    <xf numFmtId="165" fontId="44" fillId="8" borderId="9" xfId="0" applyNumberFormat="1" applyFont="1" applyFill="1" applyBorder="1"/>
    <xf numFmtId="165" fontId="30" fillId="8" borderId="9" xfId="0" applyNumberFormat="1" applyFont="1" applyFill="1" applyBorder="1"/>
    <xf numFmtId="165" fontId="20" fillId="8" borderId="18" xfId="0" applyNumberFormat="1" applyFont="1" applyFill="1" applyBorder="1"/>
    <xf numFmtId="165" fontId="30" fillId="8" borderId="10" xfId="0" applyNumberFormat="1" applyFont="1" applyFill="1" applyBorder="1"/>
    <xf numFmtId="0" fontId="20" fillId="8" borderId="6" xfId="0" applyFont="1" applyFill="1" applyBorder="1" applyAlignment="1">
      <alignment horizontal="left" indent="1"/>
    </xf>
    <xf numFmtId="165" fontId="20" fillId="8" borderId="8" xfId="0" applyNumberFormat="1" applyFont="1" applyFill="1" applyBorder="1"/>
    <xf numFmtId="165" fontId="30" fillId="8" borderId="20" xfId="0" applyNumberFormat="1" applyFont="1" applyFill="1" applyBorder="1"/>
    <xf numFmtId="0" fontId="20" fillId="8" borderId="2" xfId="0" applyFont="1" applyFill="1" applyBorder="1" applyAlignment="1">
      <alignment horizontal="left" indent="1"/>
    </xf>
    <xf numFmtId="165" fontId="30" fillId="8" borderId="2" xfId="0" applyNumberFormat="1" applyFont="1" applyFill="1" applyBorder="1"/>
    <xf numFmtId="165" fontId="20" fillId="8" borderId="21" xfId="0" applyNumberFormat="1" applyFont="1" applyFill="1" applyBorder="1"/>
    <xf numFmtId="165" fontId="30" fillId="8" borderId="14" xfId="0" applyNumberFormat="1" applyFont="1" applyFill="1" applyBorder="1"/>
    <xf numFmtId="181" fontId="44" fillId="8" borderId="9" xfId="0" applyNumberFormat="1" applyFont="1" applyFill="1" applyBorder="1"/>
    <xf numFmtId="181" fontId="30" fillId="8" borderId="9" xfId="0" applyNumberFormat="1" applyFont="1" applyFill="1" applyBorder="1"/>
    <xf numFmtId="181" fontId="30" fillId="8" borderId="10" xfId="0" applyNumberFormat="1" applyFont="1" applyFill="1" applyBorder="1"/>
    <xf numFmtId="0" fontId="9" fillId="8" borderId="9" xfId="0" applyFont="1" applyFill="1" applyBorder="1" applyAlignment="1">
      <alignment horizontal="left" indent="1"/>
    </xf>
    <xf numFmtId="165" fontId="28" fillId="8" borderId="9" xfId="0" applyNumberFormat="1" applyFont="1" applyFill="1" applyBorder="1"/>
    <xf numFmtId="165" fontId="28" fillId="8" borderId="10" xfId="0" applyNumberFormat="1" applyFont="1" applyFill="1" applyBorder="1"/>
    <xf numFmtId="0" fontId="19" fillId="8" borderId="6" xfId="0" applyFont="1" applyFill="1" applyBorder="1" applyAlignment="1">
      <alignment horizontal="left" indent="1"/>
    </xf>
    <xf numFmtId="0" fontId="19" fillId="8" borderId="2" xfId="0" applyFont="1" applyFill="1" applyBorder="1" applyAlignment="1">
      <alignment horizontal="left" indent="1"/>
    </xf>
    <xf numFmtId="181" fontId="27" fillId="8" borderId="18" xfId="0" applyNumberFormat="1" applyFont="1" applyFill="1" applyBorder="1"/>
    <xf numFmtId="165" fontId="23" fillId="0" borderId="19" xfId="0" applyNumberFormat="1" applyFont="1" applyFill="1" applyBorder="1"/>
    <xf numFmtId="165" fontId="30" fillId="8" borderId="21" xfId="0" applyNumberFormat="1" applyFont="1" applyFill="1" applyBorder="1"/>
    <xf numFmtId="0" fontId="5" fillId="8" borderId="6" xfId="0" applyFont="1" applyFill="1" applyBorder="1" applyAlignment="1">
      <alignment horizontal="left" indent="1"/>
    </xf>
    <xf numFmtId="165" fontId="23" fillId="8" borderId="8" xfId="0" applyNumberFormat="1" applyFont="1" applyFill="1" applyBorder="1"/>
    <xf numFmtId="165" fontId="23" fillId="8" borderId="6" xfId="0" applyNumberFormat="1" applyFont="1" applyFill="1" applyBorder="1"/>
    <xf numFmtId="165" fontId="23" fillId="8" borderId="20" xfId="0" applyNumberFormat="1" applyFont="1" applyFill="1" applyBorder="1"/>
    <xf numFmtId="165" fontId="23" fillId="8" borderId="21" xfId="0" applyNumberFormat="1" applyFont="1" applyFill="1" applyBorder="1"/>
    <xf numFmtId="165" fontId="23" fillId="8" borderId="2" xfId="0" applyNumberFormat="1" applyFont="1" applyFill="1" applyBorder="1"/>
    <xf numFmtId="165" fontId="23" fillId="8" borderId="14" xfId="0" applyNumberFormat="1" applyFont="1" applyFill="1" applyBorder="1"/>
    <xf numFmtId="165" fontId="23" fillId="8" borderId="18" xfId="0" applyNumberFormat="1" applyFont="1" applyFill="1" applyBorder="1"/>
    <xf numFmtId="165" fontId="23" fillId="8" borderId="9" xfId="0" applyNumberFormat="1" applyFont="1" applyFill="1" applyBorder="1"/>
    <xf numFmtId="165" fontId="23" fillId="8" borderId="10" xfId="0" applyNumberFormat="1" applyFont="1" applyFill="1" applyBorder="1"/>
    <xf numFmtId="0" fontId="31" fillId="0" borderId="0" xfId="0" applyFont="1" applyFill="1" applyBorder="1"/>
    <xf numFmtId="0" fontId="4" fillId="0" borderId="0" xfId="0" applyFont="1" applyAlignment="1">
      <alignment horizontal="left" indent="1"/>
    </xf>
    <xf numFmtId="0" fontId="34" fillId="0" borderId="0" xfId="0" applyFont="1" applyFill="1" applyBorder="1"/>
    <xf numFmtId="168" fontId="31" fillId="0" borderId="0" xfId="0" applyNumberFormat="1" applyFont="1" applyFill="1" applyBorder="1" applyAlignment="1">
      <alignment horizontal="center"/>
    </xf>
    <xf numFmtId="168" fontId="31" fillId="0" borderId="19" xfId="0" applyNumberFormat="1" applyFont="1" applyFill="1" applyBorder="1" applyAlignment="1">
      <alignment horizontal="center"/>
    </xf>
    <xf numFmtId="168" fontId="31" fillId="0" borderId="12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indent="1"/>
    </xf>
    <xf numFmtId="0" fontId="30" fillId="0" borderId="0" xfId="0" applyFont="1"/>
    <xf numFmtId="0" fontId="30" fillId="0" borderId="19" xfId="0" applyFont="1" applyBorder="1"/>
    <xf numFmtId="0" fontId="30" fillId="0" borderId="0" xfId="0" applyNumberFormat="1" applyFont="1" applyBorder="1" applyAlignment="1"/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left" indent="2"/>
    </xf>
    <xf numFmtId="0" fontId="34" fillId="0" borderId="2" xfId="0" applyFont="1" applyBorder="1" applyAlignment="1">
      <alignment horizontal="center"/>
    </xf>
    <xf numFmtId="168" fontId="31" fillId="0" borderId="6" xfId="0" applyNumberFormat="1" applyFont="1" applyFill="1" applyBorder="1" applyAlignment="1">
      <alignment horizontal="center"/>
    </xf>
    <xf numFmtId="168" fontId="31" fillId="0" borderId="8" xfId="0" applyNumberFormat="1" applyFont="1" applyFill="1" applyBorder="1" applyAlignment="1">
      <alignment horizontal="center"/>
    </xf>
    <xf numFmtId="168" fontId="31" fillId="0" borderId="2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indent="2"/>
    </xf>
    <xf numFmtId="0" fontId="31" fillId="0" borderId="6" xfId="0" applyFont="1" applyBorder="1" applyAlignment="1">
      <alignment horizontal="left" indent="1"/>
    </xf>
    <xf numFmtId="0" fontId="30" fillId="0" borderId="6" xfId="0" applyFont="1" applyBorder="1"/>
    <xf numFmtId="0" fontId="30" fillId="0" borderId="8" xfId="0" applyFont="1" applyBorder="1"/>
    <xf numFmtId="0" fontId="30" fillId="0" borderId="20" xfId="0" applyFont="1" applyBorder="1"/>
    <xf numFmtId="0" fontId="31" fillId="0" borderId="0" xfId="0" applyFont="1" applyBorder="1" applyAlignment="1">
      <alignment horizontal="left" indent="1"/>
    </xf>
    <xf numFmtId="0" fontId="30" fillId="0" borderId="2" xfId="0" applyFont="1" applyBorder="1" applyAlignment="1">
      <alignment horizontal="left" indent="2"/>
    </xf>
    <xf numFmtId="0" fontId="31" fillId="4" borderId="2" xfId="0" applyFont="1" applyFill="1" applyBorder="1" applyAlignment="1"/>
    <xf numFmtId="0" fontId="31" fillId="4" borderId="21" xfId="0" applyFont="1" applyFill="1" applyBorder="1" applyAlignment="1"/>
    <xf numFmtId="0" fontId="31" fillId="4" borderId="14" xfId="0" applyFont="1" applyFill="1" applyBorder="1" applyAlignment="1"/>
    <xf numFmtId="168" fontId="31" fillId="0" borderId="2" xfId="0" applyNumberFormat="1" applyFont="1" applyFill="1" applyBorder="1" applyAlignment="1">
      <alignment horizontal="center"/>
    </xf>
    <xf numFmtId="168" fontId="31" fillId="0" borderId="21" xfId="0" applyNumberFormat="1" applyFont="1" applyFill="1" applyBorder="1" applyAlignment="1">
      <alignment horizontal="center"/>
    </xf>
    <xf numFmtId="168" fontId="31" fillId="0" borderId="14" xfId="0" applyNumberFormat="1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165" fontId="30" fillId="0" borderId="20" xfId="0" applyNumberFormat="1" applyFont="1" applyBorder="1"/>
    <xf numFmtId="165" fontId="30" fillId="0" borderId="19" xfId="0" applyNumberFormat="1" applyFont="1" applyBorder="1"/>
    <xf numFmtId="0" fontId="4" fillId="0" borderId="2" xfId="0" applyFont="1" applyBorder="1" applyAlignment="1">
      <alignment horizontal="left" indent="1"/>
    </xf>
    <xf numFmtId="0" fontId="20" fillId="0" borderId="18" xfId="0" applyFont="1" applyBorder="1"/>
    <xf numFmtId="0" fontId="20" fillId="0" borderId="9" xfId="0" applyFont="1" applyBorder="1"/>
    <xf numFmtId="0" fontId="20" fillId="0" borderId="10" xfId="0" applyFont="1" applyBorder="1"/>
    <xf numFmtId="165" fontId="30" fillId="0" borderId="21" xfId="0" applyNumberFormat="1" applyFont="1" applyBorder="1"/>
    <xf numFmtId="165" fontId="36" fillId="0" borderId="19" xfId="0" applyNumberFormat="1" applyFont="1" applyBorder="1"/>
    <xf numFmtId="165" fontId="30" fillId="0" borderId="0" xfId="0" applyNumberFormat="1" applyFont="1" applyFill="1" applyBorder="1" applyAlignment="1">
      <alignment horizontal="center"/>
    </xf>
    <xf numFmtId="165" fontId="31" fillId="0" borderId="6" xfId="0" applyNumberFormat="1" applyFont="1" applyBorder="1" applyAlignment="1"/>
    <xf numFmtId="165" fontId="44" fillId="0" borderId="19" xfId="0" applyNumberFormat="1" applyFont="1" applyBorder="1"/>
    <xf numFmtId="165" fontId="31" fillId="0" borderId="6" xfId="0" applyNumberFormat="1" applyFont="1" applyFill="1" applyBorder="1" applyAlignment="1">
      <alignment horizontal="center"/>
    </xf>
    <xf numFmtId="165" fontId="30" fillId="0" borderId="0" xfId="0" applyNumberFormat="1" applyFont="1" applyBorder="1"/>
    <xf numFmtId="165" fontId="44" fillId="0" borderId="0" xfId="0" applyNumberFormat="1" applyFont="1" applyBorder="1"/>
    <xf numFmtId="165" fontId="30" fillId="0" borderId="21" xfId="0" applyNumberFormat="1" applyFont="1" applyFill="1" applyBorder="1"/>
    <xf numFmtId="0" fontId="34" fillId="0" borderId="0" xfId="0" applyFont="1" applyBorder="1" applyAlignment="1">
      <alignment horizontal="center"/>
    </xf>
    <xf numFmtId="0" fontId="4" fillId="0" borderId="0" xfId="0" applyFont="1"/>
    <xf numFmtId="186" fontId="27" fillId="5" borderId="1" xfId="0" applyNumberFormat="1" applyFont="1" applyFill="1" applyBorder="1" applyAlignment="1">
      <alignment horizontal="center"/>
    </xf>
    <xf numFmtId="0" fontId="46" fillId="0" borderId="6" xfId="0" applyFont="1" applyFill="1" applyBorder="1"/>
    <xf numFmtId="181" fontId="36" fillId="0" borderId="19" xfId="0" applyNumberFormat="1" applyFont="1" applyBorder="1"/>
    <xf numFmtId="181" fontId="31" fillId="0" borderId="6" xfId="0" applyNumberFormat="1" applyFont="1" applyBorder="1" applyAlignment="1"/>
    <xf numFmtId="0" fontId="34" fillId="0" borderId="6" xfId="0" applyFont="1" applyFill="1" applyBorder="1"/>
    <xf numFmtId="180" fontId="30" fillId="0" borderId="19" xfId="1" applyNumberFormat="1" applyFont="1" applyFill="1" applyBorder="1"/>
    <xf numFmtId="0" fontId="4" fillId="0" borderId="0" xfId="0" applyFont="1" applyAlignment="1">
      <alignment horizontal="left"/>
    </xf>
    <xf numFmtId="165" fontId="30" fillId="0" borderId="8" xfId="0" applyNumberFormat="1" applyFont="1" applyBorder="1"/>
    <xf numFmtId="165" fontId="30" fillId="0" borderId="6" xfId="0" applyNumberFormat="1" applyFont="1" applyBorder="1"/>
    <xf numFmtId="169" fontId="30" fillId="0" borderId="2" xfId="0" applyNumberFormat="1" applyFont="1" applyFill="1" applyBorder="1"/>
    <xf numFmtId="169" fontId="30" fillId="0" borderId="24" xfId="0" applyNumberFormat="1" applyFont="1" applyFill="1" applyBorder="1" applyAlignment="1">
      <alignment horizontal="center"/>
    </xf>
    <xf numFmtId="169" fontId="30" fillId="5" borderId="16" xfId="0" applyNumberFormat="1" applyFont="1" applyFill="1" applyBorder="1" applyAlignment="1">
      <alignment horizontal="center"/>
    </xf>
    <xf numFmtId="187" fontId="30" fillId="0" borderId="0" xfId="0" applyNumberFormat="1" applyFont="1"/>
    <xf numFmtId="188" fontId="30" fillId="0" borderId="0" xfId="0" applyNumberFormat="1" applyFont="1"/>
    <xf numFmtId="0" fontId="20" fillId="0" borderId="0" xfId="0" applyFont="1" applyBorder="1" applyAlignment="1">
      <alignment horizontal="left" indent="1"/>
    </xf>
    <xf numFmtId="0" fontId="29" fillId="0" borderId="34" xfId="0" applyFont="1" applyBorder="1" applyAlignment="1">
      <alignment horizontal="center"/>
    </xf>
    <xf numFmtId="169" fontId="27" fillId="5" borderId="35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165" fontId="30" fillId="0" borderId="23" xfId="0" applyNumberFormat="1" applyFont="1" applyFill="1" applyBorder="1"/>
    <xf numFmtId="0" fontId="3" fillId="0" borderId="0" xfId="0" applyFont="1" applyAlignment="1">
      <alignment horizontal="left"/>
    </xf>
    <xf numFmtId="0" fontId="20" fillId="0" borderId="19" xfId="0" applyFont="1" applyFill="1" applyBorder="1"/>
    <xf numFmtId="0" fontId="20" fillId="0" borderId="12" xfId="0" applyFont="1" applyFill="1" applyBorder="1"/>
    <xf numFmtId="0" fontId="3" fillId="0" borderId="0" xfId="0" applyFont="1" applyFill="1" applyBorder="1" applyAlignment="1">
      <alignment horizontal="left" indent="1"/>
    </xf>
    <xf numFmtId="165" fontId="27" fillId="0" borderId="19" xfId="0" applyNumberFormat="1" applyFont="1" applyBorder="1"/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47" fillId="0" borderId="0" xfId="0" applyFont="1" applyAlignment="1">
      <alignment horizontal="left" indent="2"/>
    </xf>
    <xf numFmtId="169" fontId="23" fillId="0" borderId="12" xfId="0" applyNumberFormat="1" applyFont="1" applyBorder="1" applyAlignment="1">
      <alignment horizontal="center"/>
    </xf>
    <xf numFmtId="170" fontId="36" fillId="0" borderId="12" xfId="1" applyNumberFormat="1" applyFont="1" applyFill="1" applyBorder="1" applyAlignment="1">
      <alignment horizontal="center"/>
    </xf>
    <xf numFmtId="0" fontId="31" fillId="6" borderId="36" xfId="2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left" indent="1"/>
    </xf>
    <xf numFmtId="177" fontId="31" fillId="4" borderId="9" xfId="2" applyNumberFormat="1" applyFont="1" applyFill="1" applyBorder="1" applyAlignment="1">
      <alignment horizontal="center"/>
    </xf>
    <xf numFmtId="168" fontId="30" fillId="4" borderId="9" xfId="2" applyNumberFormat="1" applyFont="1" applyFill="1" applyBorder="1" applyAlignment="1">
      <alignment horizontal="center"/>
    </xf>
    <xf numFmtId="168" fontId="31" fillId="4" borderId="10" xfId="2" applyNumberFormat="1" applyFont="1" applyFill="1" applyBorder="1" applyAlignment="1">
      <alignment horizontal="center"/>
    </xf>
    <xf numFmtId="0" fontId="27" fillId="0" borderId="7" xfId="1" applyFont="1" applyFill="1" applyBorder="1" applyAlignment="1"/>
    <xf numFmtId="177" fontId="31" fillId="4" borderId="10" xfId="2" applyNumberFormat="1" applyFont="1" applyFill="1" applyBorder="1" applyAlignment="1">
      <alignment horizontal="center"/>
    </xf>
    <xf numFmtId="177" fontId="37" fillId="4" borderId="9" xfId="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81" fontId="20" fillId="0" borderId="0" xfId="0" applyNumberFormat="1" applyFont="1"/>
    <xf numFmtId="0" fontId="14" fillId="0" borderId="0" xfId="0" applyFont="1" applyFill="1" applyBorder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 indent="1"/>
    </xf>
    <xf numFmtId="165" fontId="38" fillId="5" borderId="1" xfId="1" applyNumberFormat="1" applyFont="1" applyFill="1" applyAlignment="1"/>
    <xf numFmtId="0" fontId="2" fillId="0" borderId="0" xfId="0" applyFont="1" applyBorder="1" applyAlignment="1">
      <alignment horizontal="left" indent="1"/>
    </xf>
    <xf numFmtId="0" fontId="2" fillId="8" borderId="9" xfId="0" applyFont="1" applyFill="1" applyBorder="1" applyAlignment="1">
      <alignment horizontal="left" indent="1"/>
    </xf>
    <xf numFmtId="0" fontId="20" fillId="8" borderId="9" xfId="0" applyFont="1" applyFill="1" applyBorder="1"/>
    <xf numFmtId="0" fontId="20" fillId="8" borderId="18" xfId="0" applyFont="1" applyFill="1" applyBorder="1"/>
    <xf numFmtId="0" fontId="20" fillId="8" borderId="10" xfId="0" applyFont="1" applyFill="1" applyBorder="1"/>
    <xf numFmtId="165" fontId="20" fillId="8" borderId="9" xfId="0" applyNumberFormat="1" applyFont="1" applyFill="1" applyBorder="1"/>
    <xf numFmtId="165" fontId="27" fillId="5" borderId="37" xfId="0" applyNumberFormat="1" applyFont="1" applyFill="1" applyBorder="1" applyAlignment="1">
      <alignment horizontal="center"/>
    </xf>
    <xf numFmtId="3" fontId="30" fillId="0" borderId="0" xfId="0" quotePrefix="1" applyNumberFormat="1" applyFont="1" applyFill="1" applyBorder="1"/>
    <xf numFmtId="37" fontId="27" fillId="5" borderId="27" xfId="0" applyNumberFormat="1" applyFont="1" applyFill="1" applyBorder="1" applyAlignment="1">
      <alignment horizontal="center"/>
    </xf>
    <xf numFmtId="37" fontId="27" fillId="0" borderId="38" xfId="0" applyNumberFormat="1" applyFont="1" applyFill="1" applyBorder="1" applyAlignment="1">
      <alignment horizontal="center"/>
    </xf>
    <xf numFmtId="0" fontId="20" fillId="8" borderId="19" xfId="0" applyFont="1" applyFill="1" applyBorder="1"/>
    <xf numFmtId="0" fontId="3" fillId="8" borderId="6" xfId="0" applyFont="1" applyFill="1" applyBorder="1" applyAlignment="1">
      <alignment horizontal="left" indent="2"/>
    </xf>
    <xf numFmtId="0" fontId="20" fillId="8" borderId="8" xfId="0" applyFont="1" applyFill="1" applyBorder="1"/>
    <xf numFmtId="0" fontId="3" fillId="8" borderId="0" xfId="0" applyFont="1" applyFill="1" applyBorder="1" applyAlignment="1">
      <alignment horizontal="left" indent="2"/>
    </xf>
    <xf numFmtId="0" fontId="3" fillId="8" borderId="2" xfId="0" applyFont="1" applyFill="1" applyBorder="1" applyAlignment="1">
      <alignment horizontal="left" indent="2"/>
    </xf>
    <xf numFmtId="0" fontId="20" fillId="8" borderId="21" xfId="0" applyFont="1" applyFill="1" applyBorder="1"/>
    <xf numFmtId="0" fontId="1" fillId="0" borderId="0" xfId="0" applyFont="1"/>
    <xf numFmtId="0" fontId="32" fillId="0" borderId="0" xfId="0" applyFont="1" applyFill="1" applyBorder="1" applyAlignment="1">
      <alignment horizontal="center"/>
    </xf>
    <xf numFmtId="189" fontId="20" fillId="0" borderId="0" xfId="0" applyNumberFormat="1" applyFont="1" applyFill="1" applyBorder="1"/>
    <xf numFmtId="0" fontId="29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quotePrefix="1" applyFont="1" applyFill="1" applyBorder="1"/>
    <xf numFmtId="0" fontId="23" fillId="7" borderId="2" xfId="0" applyFont="1" applyFill="1" applyBorder="1"/>
    <xf numFmtId="165" fontId="27" fillId="5" borderId="39" xfId="0" applyNumberFormat="1" applyFont="1" applyFill="1" applyBorder="1"/>
    <xf numFmtId="165" fontId="27" fillId="5" borderId="40" xfId="0" applyNumberFormat="1" applyFont="1" applyFill="1" applyBorder="1"/>
    <xf numFmtId="49" fontId="9" fillId="8" borderId="9" xfId="0" applyNumberFormat="1" applyFont="1" applyFill="1" applyBorder="1" applyAlignment="1">
      <alignment horizontal="left" indent="1"/>
    </xf>
    <xf numFmtId="165" fontId="30" fillId="8" borderId="18" xfId="0" applyNumberFormat="1" applyFont="1" applyFill="1" applyBorder="1"/>
    <xf numFmtId="165" fontId="5" fillId="8" borderId="9" xfId="0" applyNumberFormat="1" applyFont="1" applyFill="1" applyBorder="1"/>
    <xf numFmtId="0" fontId="1" fillId="0" borderId="0" xfId="0" applyFont="1" applyAlignment="1">
      <alignment horizontal="left" indent="1"/>
    </xf>
    <xf numFmtId="165" fontId="28" fillId="0" borderId="0" xfId="0" applyNumberFormat="1" applyFont="1" applyFill="1" applyBorder="1"/>
    <xf numFmtId="43" fontId="30" fillId="0" borderId="0" xfId="0" applyNumberFormat="1" applyFont="1" applyBorder="1" applyAlignment="1"/>
    <xf numFmtId="0" fontId="1" fillId="7" borderId="2" xfId="0" applyFont="1" applyFill="1" applyBorder="1"/>
    <xf numFmtId="0" fontId="1" fillId="0" borderId="0" xfId="0" quotePrefix="1" applyFont="1"/>
    <xf numFmtId="0" fontId="22" fillId="6" borderId="11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te" xfId="1" builtinId="10"/>
  </cellStyles>
  <dxfs count="0"/>
  <tableStyles count="0" defaultTableStyle="TableStyleMedium2" defaultPivotStyle="PivotStyleLight16"/>
  <colors>
    <mruColors>
      <color rgb="FFDDEBF6"/>
      <color rgb="FFD9D9D9"/>
      <color rgb="FF0000FF"/>
      <color rgb="FF1F497D"/>
      <color rgb="FFFF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AG451"/>
  <sheetViews>
    <sheetView showGridLines="0" tabSelected="1" topLeftCell="D230" zoomScaleNormal="100" workbookViewId="0">
      <selection activeCell="S232" sqref="S232"/>
    </sheetView>
  </sheetViews>
  <sheetFormatPr defaultRowHeight="15.75" customHeight="1" outlineLevelRow="1" outlineLevelCol="1" x14ac:dyDescent="0.25"/>
  <cols>
    <col min="1" max="2" width="2.7109375" style="116" customWidth="1"/>
    <col min="3" max="3" width="49.85546875" style="116" bestFit="1" customWidth="1"/>
    <col min="4" max="4" width="12.7109375" style="116" customWidth="1"/>
    <col min="5" max="10" width="12.7109375" style="116" hidden="1" customWidth="1" outlineLevel="1"/>
    <col min="11" max="11" width="12.7109375" style="116" customWidth="1" collapsed="1"/>
    <col min="12" max="17" width="12.7109375" style="116" customWidth="1"/>
    <col min="18" max="19" width="2.7109375" style="116" customWidth="1"/>
    <col min="20" max="28" width="12.7109375" style="116" customWidth="1"/>
    <col min="29" max="16384" width="9.140625" style="116"/>
  </cols>
  <sheetData>
    <row r="2" spans="2:17" ht="15.75" customHeight="1" x14ac:dyDescent="0.3">
      <c r="B2" s="196" t="str">
        <f>Company_Name&amp;" - 4-Hour LBO Modeling Test"</f>
        <v>Viridor Limited - 4-Hour LBO Modeling Test</v>
      </c>
    </row>
    <row r="3" spans="2:17" ht="15.75" customHeight="1" x14ac:dyDescent="0.25">
      <c r="B3" s="116" t="str">
        <f>Fin_Projections!$B$3</f>
        <v>(£ in GBP Millions Unless Otherwise Stated)</v>
      </c>
    </row>
    <row r="5" spans="2:17" ht="15.75" customHeight="1" x14ac:dyDescent="0.25">
      <c r="B5" s="4" t="s">
        <v>119</v>
      </c>
      <c r="C5" s="5"/>
      <c r="D5" s="110" t="s">
        <v>26</v>
      </c>
      <c r="E5" s="7"/>
      <c r="F5" s="7"/>
      <c r="G5" s="7"/>
      <c r="H5" s="7"/>
      <c r="I5" s="7"/>
      <c r="J5" s="7"/>
      <c r="K5" s="35" t="str">
        <f>$D$5</f>
        <v>Units:</v>
      </c>
      <c r="L5" s="7"/>
      <c r="M5" s="6"/>
      <c r="N5" s="7"/>
      <c r="O5" s="7"/>
      <c r="P5" s="323"/>
      <c r="Q5" s="323"/>
    </row>
    <row r="6" spans="2:17" ht="15.75" customHeight="1" outlineLevel="1" x14ac:dyDescent="0.25"/>
    <row r="7" spans="2:17" ht="15.75" customHeight="1" outlineLevel="1" x14ac:dyDescent="0.25">
      <c r="C7" s="116" t="s">
        <v>0</v>
      </c>
      <c r="D7" s="48" t="s">
        <v>121</v>
      </c>
      <c r="E7" s="34" t="s">
        <v>159</v>
      </c>
      <c r="F7" s="34"/>
      <c r="H7" s="299" t="s">
        <v>158</v>
      </c>
      <c r="K7" s="48" t="s">
        <v>121</v>
      </c>
      <c r="L7" s="308" t="s">
        <v>38</v>
      </c>
      <c r="M7" s="496"/>
    </row>
    <row r="8" spans="2:17" ht="15.75" customHeight="1" outlineLevel="1" x14ac:dyDescent="0.25">
      <c r="C8" s="117" t="s">
        <v>120</v>
      </c>
      <c r="D8" s="48" t="s">
        <v>122</v>
      </c>
      <c r="E8" s="8">
        <v>43921</v>
      </c>
      <c r="H8" s="299" t="s">
        <v>271</v>
      </c>
      <c r="K8" s="48" t="s">
        <v>122</v>
      </c>
      <c r="L8" s="316">
        <v>44196</v>
      </c>
      <c r="N8" s="478" t="s">
        <v>341</v>
      </c>
      <c r="P8" s="317">
        <f>EOMONTH(Hist_Year,1)</f>
        <v>43951</v>
      </c>
    </row>
    <row r="9" spans="2:17" ht="15.75" customHeight="1" outlineLevel="1" x14ac:dyDescent="0.25">
      <c r="C9" s="116" t="s">
        <v>118</v>
      </c>
      <c r="D9" s="48" t="s">
        <v>34</v>
      </c>
      <c r="E9" s="105">
        <v>1000000</v>
      </c>
      <c r="P9" s="317">
        <f>EOMONTH(P8,1)</f>
        <v>43982</v>
      </c>
    </row>
    <row r="10" spans="2:17" ht="15.75" customHeight="1" outlineLevel="1" x14ac:dyDescent="0.25">
      <c r="H10" s="299" t="s">
        <v>272</v>
      </c>
      <c r="K10" s="48" t="s">
        <v>34</v>
      </c>
      <c r="L10" s="318">
        <f>1-Post_Txn_Stub</f>
        <v>0.75342465753424659</v>
      </c>
      <c r="P10" s="317">
        <f t="shared" ref="P10:P18" si="0">EOMONTH(P9,1)</f>
        <v>44012</v>
      </c>
    </row>
    <row r="11" spans="2:17" ht="15.75" customHeight="1" outlineLevel="1" x14ac:dyDescent="0.25">
      <c r="C11" s="322" t="s">
        <v>280</v>
      </c>
      <c r="D11" s="48" t="s">
        <v>35</v>
      </c>
      <c r="E11" s="184">
        <v>20.802377414561654</v>
      </c>
      <c r="H11" s="299" t="s">
        <v>273</v>
      </c>
      <c r="K11" s="48" t="s">
        <v>34</v>
      </c>
      <c r="L11" s="318">
        <f>(EOMONTH(Hist_Year,12)-Close_Date)/(EOMONTH(Hist_Year,12)-Hist_Year)</f>
        <v>0.24657534246575341</v>
      </c>
      <c r="P11" s="317">
        <f t="shared" si="0"/>
        <v>44043</v>
      </c>
    </row>
    <row r="12" spans="2:17" ht="15.75" customHeight="1" outlineLevel="1" x14ac:dyDescent="0.25">
      <c r="C12" s="299" t="s">
        <v>15</v>
      </c>
      <c r="D12" s="48" t="s">
        <v>168</v>
      </c>
      <c r="E12" s="121">
        <f>Fin_Projections!G115</f>
        <v>201.90000000000009</v>
      </c>
      <c r="P12" s="317">
        <f t="shared" si="0"/>
        <v>44074</v>
      </c>
    </row>
    <row r="13" spans="2:17" ht="15.75" customHeight="1" outlineLevel="1" x14ac:dyDescent="0.25">
      <c r="H13" s="116" t="s">
        <v>101</v>
      </c>
      <c r="K13" s="48" t="s">
        <v>122</v>
      </c>
      <c r="L13" s="100">
        <v>46112</v>
      </c>
      <c r="P13" s="317">
        <f t="shared" si="0"/>
        <v>44104</v>
      </c>
    </row>
    <row r="14" spans="2:17" ht="15.75" customHeight="1" outlineLevel="1" x14ac:dyDescent="0.25">
      <c r="C14" s="9" t="s">
        <v>13</v>
      </c>
      <c r="D14" s="199" t="s">
        <v>168</v>
      </c>
      <c r="E14" s="304">
        <f>Purchase_Multiple*LTM_EBITDA</f>
        <v>4200</v>
      </c>
      <c r="L14" s="107"/>
      <c r="P14" s="317">
        <f t="shared" si="0"/>
        <v>44135</v>
      </c>
    </row>
    <row r="15" spans="2:17" ht="15.75" customHeight="1" outlineLevel="1" x14ac:dyDescent="0.25">
      <c r="C15" s="328" t="s">
        <v>287</v>
      </c>
      <c r="D15" s="48" t="s">
        <v>168</v>
      </c>
      <c r="E15" s="47">
        <f>H116</f>
        <v>124.25150063385391</v>
      </c>
      <c r="H15" s="218" t="s">
        <v>139</v>
      </c>
      <c r="P15" s="317">
        <f t="shared" si="0"/>
        <v>44165</v>
      </c>
    </row>
    <row r="16" spans="2:17" ht="15.75" customHeight="1" outlineLevel="1" x14ac:dyDescent="0.25">
      <c r="C16" s="503" t="s">
        <v>385</v>
      </c>
      <c r="D16" s="48" t="s">
        <v>168</v>
      </c>
      <c r="E16" s="504">
        <v>0</v>
      </c>
      <c r="H16" s="119" t="s">
        <v>37</v>
      </c>
      <c r="K16" s="48" t="s">
        <v>35</v>
      </c>
      <c r="L16" s="184">
        <v>24</v>
      </c>
      <c r="M16" s="252"/>
      <c r="P16" s="317">
        <f t="shared" si="0"/>
        <v>44196</v>
      </c>
    </row>
    <row r="17" spans="3:16" ht="15.75" customHeight="1" outlineLevel="1" x14ac:dyDescent="0.25">
      <c r="C17" s="328" t="s">
        <v>288</v>
      </c>
      <c r="D17" s="48" t="s">
        <v>168</v>
      </c>
      <c r="E17" s="47">
        <f>-H138</f>
        <v>0</v>
      </c>
      <c r="H17" s="119" t="s">
        <v>38</v>
      </c>
      <c r="K17" s="48" t="s">
        <v>35</v>
      </c>
      <c r="L17" s="184">
        <v>21</v>
      </c>
      <c r="M17" s="115"/>
      <c r="P17" s="317">
        <f t="shared" si="0"/>
        <v>44227</v>
      </c>
    </row>
    <row r="18" spans="3:16" ht="15.75" customHeight="1" outlineLevel="1" x14ac:dyDescent="0.25">
      <c r="C18" s="84" t="s">
        <v>74</v>
      </c>
      <c r="D18" s="200" t="s">
        <v>168</v>
      </c>
      <c r="E18" s="305">
        <f>SUM(E14:E17)</f>
        <v>4324.2515006338535</v>
      </c>
      <c r="G18" s="22"/>
      <c r="H18" s="475" t="s">
        <v>39</v>
      </c>
      <c r="I18" s="128"/>
      <c r="J18" s="128"/>
      <c r="K18" s="476" t="s">
        <v>35</v>
      </c>
      <c r="L18" s="477">
        <v>18</v>
      </c>
      <c r="M18" s="115"/>
      <c r="P18" s="317">
        <f t="shared" si="0"/>
        <v>44255</v>
      </c>
    </row>
    <row r="19" spans="3:16" ht="15.75" customHeight="1" outlineLevel="1" x14ac:dyDescent="0.25">
      <c r="C19" s="303"/>
      <c r="D19" s="48"/>
      <c r="E19" s="306"/>
      <c r="G19" s="22"/>
      <c r="H19" s="492" t="s">
        <v>358</v>
      </c>
      <c r="I19" s="123"/>
      <c r="J19" s="123"/>
      <c r="K19" s="239" t="s">
        <v>35</v>
      </c>
      <c r="L19" s="185">
        <v>15</v>
      </c>
      <c r="M19" s="115"/>
      <c r="N19" s="317"/>
      <c r="P19" s="317"/>
    </row>
    <row r="20" spans="3:16" ht="15.75" customHeight="1" outlineLevel="1" x14ac:dyDescent="0.25">
      <c r="C20" s="481" t="s">
        <v>382</v>
      </c>
      <c r="D20" s="48"/>
      <c r="E20" s="306"/>
      <c r="G20" s="115"/>
      <c r="H20" s="3" t="s">
        <v>100</v>
      </c>
      <c r="K20" s="48" t="s">
        <v>35</v>
      </c>
      <c r="L20" s="195">
        <f>INDEX(L16:L19,MATCH(Scenario,$H16:$H19,0),1)</f>
        <v>21</v>
      </c>
      <c r="M20" s="115"/>
      <c r="N20" s="317"/>
    </row>
    <row r="21" spans="3:16" ht="15.75" customHeight="1" outlineLevel="1" x14ac:dyDescent="0.25">
      <c r="C21" s="521" t="s">
        <v>395</v>
      </c>
      <c r="G21" s="115"/>
      <c r="M21" s="115"/>
      <c r="N21" s="317"/>
    </row>
    <row r="22" spans="3:16" ht="15.75" customHeight="1" outlineLevel="1" x14ac:dyDescent="0.25">
      <c r="H22" s="299" t="s">
        <v>269</v>
      </c>
      <c r="K22" s="48" t="s">
        <v>168</v>
      </c>
      <c r="L22" s="309">
        <v>150</v>
      </c>
    </row>
    <row r="23" spans="3:16" ht="15.75" customHeight="1" outlineLevel="1" x14ac:dyDescent="0.25">
      <c r="C23" s="181" t="s">
        <v>132</v>
      </c>
      <c r="D23" s="48" t="s">
        <v>25</v>
      </c>
      <c r="E23" s="111">
        <v>0.01</v>
      </c>
      <c r="H23" s="299"/>
      <c r="I23" s="115"/>
      <c r="J23" s="115"/>
      <c r="K23" s="48"/>
      <c r="L23" s="315"/>
    </row>
    <row r="24" spans="3:16" ht="15.75" customHeight="1" outlineLevel="1" x14ac:dyDescent="0.25">
      <c r="C24" s="181" t="s">
        <v>133</v>
      </c>
      <c r="D24" s="48" t="s">
        <v>25</v>
      </c>
      <c r="E24" s="111">
        <v>0.02</v>
      </c>
      <c r="H24" s="460" t="s">
        <v>303</v>
      </c>
      <c r="K24" s="48" t="s">
        <v>304</v>
      </c>
      <c r="L24" s="461">
        <v>0</v>
      </c>
    </row>
    <row r="25" spans="3:16" ht="15.75" customHeight="1" outlineLevel="1" x14ac:dyDescent="0.25">
      <c r="C25" s="218"/>
      <c r="D25" s="48"/>
      <c r="E25" s="514"/>
      <c r="H25" s="299" t="s">
        <v>264</v>
      </c>
      <c r="K25" s="48" t="s">
        <v>35</v>
      </c>
      <c r="L25" s="184">
        <v>1</v>
      </c>
    </row>
    <row r="26" spans="3:16" ht="15.75" customHeight="1" outlineLevel="1" x14ac:dyDescent="0.25">
      <c r="C26" s="181" t="s">
        <v>134</v>
      </c>
      <c r="D26" s="48" t="s">
        <v>168</v>
      </c>
      <c r="E26" s="309">
        <v>15</v>
      </c>
      <c r="H26" s="299" t="s">
        <v>263</v>
      </c>
      <c r="K26" s="48" t="s">
        <v>168</v>
      </c>
      <c r="L26" s="116">
        <f>L25*LTM_EBITDA</f>
        <v>201.90000000000009</v>
      </c>
    </row>
    <row r="27" spans="3:16" ht="15.75" customHeight="1" outlineLevel="1" x14ac:dyDescent="0.25"/>
    <row r="28" spans="3:16" ht="15.75" customHeight="1" outlineLevel="1" x14ac:dyDescent="0.25">
      <c r="C28" s="478" t="s">
        <v>319</v>
      </c>
      <c r="D28" s="48" t="s">
        <v>35</v>
      </c>
      <c r="E28" s="184">
        <v>2</v>
      </c>
    </row>
    <row r="29" spans="3:16" ht="15.75" customHeight="1" outlineLevel="1" x14ac:dyDescent="0.25">
      <c r="C29" s="478" t="s">
        <v>320</v>
      </c>
      <c r="D29" s="48" t="s">
        <v>35</v>
      </c>
      <c r="E29" s="184">
        <v>3</v>
      </c>
    </row>
    <row r="30" spans="3:16" ht="15.75" customHeight="1" outlineLevel="1" x14ac:dyDescent="0.25"/>
    <row r="31" spans="3:16" ht="15.75" customHeight="1" outlineLevel="1" x14ac:dyDescent="0.25">
      <c r="C31" s="478" t="s">
        <v>321</v>
      </c>
      <c r="D31" s="48" t="s">
        <v>25</v>
      </c>
      <c r="E31" s="111">
        <v>0.05</v>
      </c>
    </row>
    <row r="32" spans="3:16" ht="15.75" customHeight="1" outlineLevel="1" x14ac:dyDescent="0.25">
      <c r="C32" s="478" t="s">
        <v>322</v>
      </c>
      <c r="D32" s="48" t="s">
        <v>25</v>
      </c>
      <c r="E32" s="111">
        <v>0.1</v>
      </c>
    </row>
    <row r="34" spans="2:31" ht="15.75" customHeight="1" x14ac:dyDescent="0.25">
      <c r="B34" s="4" t="s">
        <v>1</v>
      </c>
      <c r="C34" s="5"/>
      <c r="D34" s="6"/>
      <c r="E34" s="7"/>
      <c r="F34" s="7"/>
      <c r="G34" s="7"/>
      <c r="H34" s="7"/>
      <c r="I34" s="7"/>
      <c r="J34" s="7"/>
      <c r="K34" s="7"/>
      <c r="L34" s="7"/>
      <c r="M34" s="6"/>
      <c r="N34" s="7"/>
      <c r="O34" s="7"/>
      <c r="P34" s="7"/>
      <c r="Q34" s="323"/>
    </row>
    <row r="35" spans="2:31" ht="15.75" customHeight="1" outlineLevel="1" x14ac:dyDescent="0.25">
      <c r="E35" s="127"/>
    </row>
    <row r="36" spans="2:31" ht="15.75" customHeight="1" outlineLevel="1" x14ac:dyDescent="0.25">
      <c r="C36" s="9" t="s">
        <v>20</v>
      </c>
      <c r="D36" s="29" t="s">
        <v>268</v>
      </c>
      <c r="E36" s="29" t="s">
        <v>12</v>
      </c>
      <c r="F36" s="28" t="s">
        <v>19</v>
      </c>
      <c r="H36" s="9" t="s">
        <v>17</v>
      </c>
      <c r="I36" s="118"/>
      <c r="J36" s="118"/>
      <c r="K36" s="29" t="str">
        <f>+$D$36</f>
        <v>£ M GBP</v>
      </c>
      <c r="L36" s="29" t="s">
        <v>12</v>
      </c>
      <c r="AE36" s="525"/>
    </row>
    <row r="37" spans="2:31" ht="15.75" customHeight="1" outlineLevel="1" x14ac:dyDescent="0.25">
      <c r="C37" s="119" t="s">
        <v>8</v>
      </c>
      <c r="D37" s="307">
        <f t="shared" ref="D37:D42" si="1">E37*LTM_EBITDA</f>
        <v>0</v>
      </c>
      <c r="E37" s="184">
        <v>0</v>
      </c>
      <c r="F37" s="210">
        <f>D37/$D$44</f>
        <v>0</v>
      </c>
      <c r="H37" s="303" t="s">
        <v>13</v>
      </c>
      <c r="K37" s="307">
        <f>E14</f>
        <v>4200</v>
      </c>
      <c r="L37" s="215">
        <f>K37/LTM_EBITDA</f>
        <v>20.802377414561654</v>
      </c>
      <c r="AE37" s="525"/>
    </row>
    <row r="38" spans="2:31" ht="15.75" customHeight="1" outlineLevel="1" x14ac:dyDescent="0.25">
      <c r="C38" s="119" t="s">
        <v>72</v>
      </c>
      <c r="D38" s="121">
        <f t="shared" si="1"/>
        <v>302.85000000000014</v>
      </c>
      <c r="E38" s="184">
        <v>1.5</v>
      </c>
      <c r="F38" s="211">
        <f t="shared" ref="F38:F43" si="2">D38/$D$44</f>
        <v>7.0485907983425689E-2</v>
      </c>
      <c r="H38" s="303" t="s">
        <v>270</v>
      </c>
      <c r="K38" s="121">
        <f>MAX(0,Min_WC-(H117+H118+H127-H134-H141))</f>
        <v>0</v>
      </c>
      <c r="L38" s="209">
        <f>K38/LTM_EBITDA</f>
        <v>0</v>
      </c>
      <c r="AE38" s="525"/>
    </row>
    <row r="39" spans="2:31" ht="15.75" customHeight="1" outlineLevel="1" x14ac:dyDescent="0.25">
      <c r="C39" s="119" t="s">
        <v>73</v>
      </c>
      <c r="D39" s="121">
        <f t="shared" si="1"/>
        <v>302.85000000000014</v>
      </c>
      <c r="E39" s="184">
        <v>1.5</v>
      </c>
      <c r="F39" s="211">
        <f t="shared" si="2"/>
        <v>7.0485907983425689E-2</v>
      </c>
      <c r="H39" s="119" t="s">
        <v>11</v>
      </c>
      <c r="K39" s="109">
        <f>E18*E23+E26</f>
        <v>58.242515006338536</v>
      </c>
      <c r="L39" s="209">
        <f>K39/LTM_EBITDA</f>
        <v>0.28847209017502978</v>
      </c>
      <c r="AE39" s="525"/>
    </row>
    <row r="40" spans="2:31" ht="15.75" customHeight="1" outlineLevel="1" x14ac:dyDescent="0.25">
      <c r="C40" s="303" t="s">
        <v>258</v>
      </c>
      <c r="D40" s="121">
        <f t="shared" si="1"/>
        <v>201.90000000000009</v>
      </c>
      <c r="E40" s="184">
        <v>1</v>
      </c>
      <c r="F40" s="212">
        <f t="shared" si="2"/>
        <v>4.6990605322283795E-2</v>
      </c>
      <c r="H40" s="533" t="s">
        <v>396</v>
      </c>
      <c r="K40" s="109">
        <f>Issuance_Fees+OID</f>
        <v>38.361000000000018</v>
      </c>
      <c r="L40" s="209">
        <f>K40/LTM_EBITDA</f>
        <v>0.19</v>
      </c>
      <c r="O40" s="63"/>
      <c r="P40" s="75"/>
      <c r="Q40" s="75"/>
      <c r="AE40" s="525"/>
    </row>
    <row r="41" spans="2:31" ht="15.75" customHeight="1" outlineLevel="1" x14ac:dyDescent="0.25">
      <c r="C41" s="303" t="s">
        <v>36</v>
      </c>
      <c r="D41" s="121">
        <f t="shared" si="1"/>
        <v>201.90000000000009</v>
      </c>
      <c r="E41" s="184">
        <v>1</v>
      </c>
      <c r="F41" s="212">
        <f t="shared" si="2"/>
        <v>4.6990605322283795E-2</v>
      </c>
      <c r="H41" s="30" t="s">
        <v>4</v>
      </c>
      <c r="I41" s="120"/>
      <c r="J41" s="120"/>
      <c r="K41" s="314">
        <f>SUM(K37:K40)</f>
        <v>4296.6035150063381</v>
      </c>
      <c r="L41" s="216">
        <f>SUM(L37:L40)</f>
        <v>21.280849504736686</v>
      </c>
      <c r="O41" s="63"/>
      <c r="P41" s="75"/>
      <c r="Q41" s="75"/>
      <c r="AE41" s="525"/>
    </row>
    <row r="42" spans="2:31" ht="15.75" customHeight="1" outlineLevel="1" x14ac:dyDescent="0.25">
      <c r="C42" s="303" t="s">
        <v>259</v>
      </c>
      <c r="D42" s="121">
        <f t="shared" si="1"/>
        <v>201.90000000000009</v>
      </c>
      <c r="E42" s="184">
        <v>1</v>
      </c>
      <c r="F42" s="212">
        <f t="shared" si="2"/>
        <v>4.6990605322283795E-2</v>
      </c>
      <c r="O42" s="121"/>
      <c r="P42" s="75"/>
      <c r="Q42" s="75"/>
      <c r="AE42" s="525"/>
    </row>
    <row r="43" spans="2:31" ht="15.75" customHeight="1" outlineLevel="1" x14ac:dyDescent="0.25">
      <c r="C43" s="240" t="s">
        <v>156</v>
      </c>
      <c r="D43" s="242">
        <f>K41-SUM(D37:D42)</f>
        <v>3085.2035150063375</v>
      </c>
      <c r="E43" s="241">
        <f>Investor_Equity/LTM_EBITDA</f>
        <v>15.280849504736683</v>
      </c>
      <c r="F43" s="213">
        <f t="shared" si="2"/>
        <v>0.71805636806629725</v>
      </c>
      <c r="AE43" s="525"/>
    </row>
    <row r="44" spans="2:31" ht="15.75" customHeight="1" outlineLevel="1" x14ac:dyDescent="0.25">
      <c r="C44" s="30" t="s">
        <v>3</v>
      </c>
      <c r="D44" s="314">
        <f>SUM(D37:D43)</f>
        <v>4296.6035150063381</v>
      </c>
      <c r="E44" s="186">
        <f>SUM(E37:E43)</f>
        <v>21.280849504736683</v>
      </c>
      <c r="F44" s="214">
        <f>SUM(F37:F43)</f>
        <v>1</v>
      </c>
      <c r="O44" s="126"/>
      <c r="AE44" s="525"/>
    </row>
    <row r="45" spans="2:31" ht="15.75" customHeight="1" x14ac:dyDescent="0.25">
      <c r="AE45" s="525"/>
    </row>
    <row r="46" spans="2:31" ht="15.75" customHeight="1" x14ac:dyDescent="0.25">
      <c r="B46" s="4" t="s">
        <v>14</v>
      </c>
      <c r="C46" s="5"/>
      <c r="D46" s="6"/>
      <c r="E46" s="7"/>
      <c r="F46" s="7"/>
      <c r="G46" s="7"/>
      <c r="H46" s="7"/>
      <c r="I46" s="7"/>
      <c r="J46" s="7"/>
      <c r="K46" s="7"/>
      <c r="L46" s="7"/>
      <c r="M46" s="6"/>
      <c r="N46" s="7"/>
      <c r="O46" s="7"/>
      <c r="P46" s="7"/>
      <c r="Q46" s="323"/>
      <c r="AE46" s="525"/>
    </row>
    <row r="47" spans="2:31" ht="15.75" customHeight="1" outlineLevel="1" x14ac:dyDescent="0.25">
      <c r="AE47" s="525"/>
    </row>
    <row r="48" spans="2:31" ht="15.75" customHeight="1" outlineLevel="1" x14ac:dyDescent="0.25">
      <c r="C48" s="11"/>
      <c r="D48" s="28" t="s">
        <v>138</v>
      </c>
      <c r="E48" s="28" t="s">
        <v>138</v>
      </c>
      <c r="F48" s="28" t="s">
        <v>312</v>
      </c>
      <c r="G48" s="28" t="s">
        <v>5</v>
      </c>
      <c r="H48" s="28" t="s">
        <v>10</v>
      </c>
      <c r="I48" s="28" t="s">
        <v>97</v>
      </c>
      <c r="J48" s="28" t="s">
        <v>260</v>
      </c>
      <c r="K48" s="28" t="s">
        <v>262</v>
      </c>
      <c r="L48" s="28" t="s">
        <v>266</v>
      </c>
      <c r="M48" s="28"/>
      <c r="N48" s="28" t="s">
        <v>313</v>
      </c>
      <c r="O48" s="28" t="s">
        <v>315</v>
      </c>
      <c r="AE48" s="525"/>
    </row>
    <row r="49" spans="2:31" ht="15.75" customHeight="1" outlineLevel="1" x14ac:dyDescent="0.25">
      <c r="C49" s="9" t="s">
        <v>7</v>
      </c>
      <c r="D49" s="29" t="s">
        <v>27</v>
      </c>
      <c r="E49" s="29" t="s">
        <v>9</v>
      </c>
      <c r="F49" s="29" t="s">
        <v>311</v>
      </c>
      <c r="G49" s="29" t="s">
        <v>311</v>
      </c>
      <c r="H49" s="29" t="s">
        <v>124</v>
      </c>
      <c r="I49" s="29" t="s">
        <v>75</v>
      </c>
      <c r="J49" s="29" t="s">
        <v>261</v>
      </c>
      <c r="K49" s="29" t="s">
        <v>261</v>
      </c>
      <c r="L49" s="29" t="s">
        <v>267</v>
      </c>
      <c r="M49" s="29" t="s">
        <v>265</v>
      </c>
      <c r="N49" s="29" t="s">
        <v>314</v>
      </c>
      <c r="O49" s="29" t="s">
        <v>316</v>
      </c>
      <c r="AE49" s="525"/>
    </row>
    <row r="50" spans="2:31" ht="15.75" customHeight="1" outlineLevel="1" x14ac:dyDescent="0.25">
      <c r="C50" s="119" t="str">
        <f>$C$37</f>
        <v>Revolver:</v>
      </c>
      <c r="D50" s="176">
        <v>0.01</v>
      </c>
      <c r="E50" s="176">
        <v>1.4999999999999999E-2</v>
      </c>
      <c r="G50" s="10"/>
      <c r="H50" s="175">
        <v>0</v>
      </c>
      <c r="I50" s="175">
        <v>1</v>
      </c>
      <c r="J50" s="175">
        <v>5.0000000000000001E-3</v>
      </c>
      <c r="K50" s="175">
        <v>0.01</v>
      </c>
      <c r="M50" s="219" t="s">
        <v>6</v>
      </c>
      <c r="AE50" s="525"/>
    </row>
    <row r="51" spans="2:31" ht="15.75" customHeight="1" outlineLevel="1" x14ac:dyDescent="0.25">
      <c r="C51" s="119" t="str">
        <f>$C$38</f>
        <v>Term Loan A:</v>
      </c>
      <c r="D51" s="176">
        <v>1.4999999999999999E-2</v>
      </c>
      <c r="E51" s="176">
        <v>0.03</v>
      </c>
      <c r="G51" s="10"/>
      <c r="H51" s="175">
        <v>0.1</v>
      </c>
      <c r="I51" s="175">
        <v>0.5</v>
      </c>
      <c r="M51" s="219">
        <v>6</v>
      </c>
      <c r="AE51" s="525"/>
    </row>
    <row r="52" spans="2:31" ht="15.75" customHeight="1" outlineLevel="1" x14ac:dyDescent="0.25">
      <c r="C52" s="119" t="str">
        <f>$C$39</f>
        <v>Term Loan B:</v>
      </c>
      <c r="D52" s="176">
        <v>0.02</v>
      </c>
      <c r="E52" s="176">
        <v>3.5000000000000003E-2</v>
      </c>
      <c r="G52" s="10"/>
      <c r="H52" s="175">
        <v>0.01</v>
      </c>
      <c r="I52" s="175">
        <v>0.5</v>
      </c>
      <c r="M52" s="219">
        <v>7</v>
      </c>
      <c r="AE52" s="525"/>
    </row>
    <row r="53" spans="2:31" ht="15.75" customHeight="1" outlineLevel="1" x14ac:dyDescent="0.25">
      <c r="C53" s="119" t="str">
        <f>$C$40</f>
        <v>Senior Unsecured Notes:</v>
      </c>
      <c r="D53" s="176">
        <v>0.02</v>
      </c>
      <c r="E53" s="176">
        <v>5.5E-2</v>
      </c>
      <c r="H53" s="134">
        <v>0</v>
      </c>
      <c r="I53" s="134">
        <v>0</v>
      </c>
      <c r="L53" s="128"/>
      <c r="M53" s="219">
        <v>8</v>
      </c>
      <c r="N53" s="134">
        <v>0.01</v>
      </c>
      <c r="O53" s="128"/>
      <c r="P53" s="128"/>
      <c r="Q53" s="128"/>
      <c r="AE53" s="525"/>
    </row>
    <row r="54" spans="2:31" ht="15.75" customHeight="1" outlineLevel="1" x14ac:dyDescent="0.25">
      <c r="C54" s="119" t="str">
        <f>$C$41</f>
        <v>Subordinated Notes:</v>
      </c>
      <c r="F54" s="313">
        <v>0.06</v>
      </c>
      <c r="G54" s="313">
        <v>0.02</v>
      </c>
      <c r="H54" s="134">
        <v>0</v>
      </c>
      <c r="I54" s="134">
        <v>0</v>
      </c>
      <c r="L54" s="134">
        <v>0.02</v>
      </c>
      <c r="M54" s="219">
        <v>10</v>
      </c>
      <c r="N54" s="134">
        <v>1.4999999999999999E-2</v>
      </c>
      <c r="O54" s="128"/>
      <c r="P54" s="128"/>
      <c r="Q54" s="128"/>
      <c r="AE54" s="525"/>
    </row>
    <row r="55" spans="2:31" ht="15.75" customHeight="1" outlineLevel="1" x14ac:dyDescent="0.25">
      <c r="C55" s="119" t="str">
        <f>$C$42</f>
        <v>Mezzanine:</v>
      </c>
      <c r="F55" s="313">
        <v>0.05</v>
      </c>
      <c r="G55" s="313">
        <v>7.0000000000000007E-2</v>
      </c>
      <c r="H55" s="134">
        <v>0</v>
      </c>
      <c r="I55" s="134">
        <v>0</v>
      </c>
      <c r="L55" s="134">
        <v>0.05</v>
      </c>
      <c r="M55" s="219">
        <v>10</v>
      </c>
      <c r="N55" s="134">
        <v>0.02</v>
      </c>
      <c r="O55" s="134">
        <v>0.01</v>
      </c>
      <c r="P55" s="128"/>
      <c r="Q55" s="128"/>
      <c r="AE55" s="525"/>
    </row>
    <row r="56" spans="2:31" ht="15.75" customHeight="1" outlineLevel="1" x14ac:dyDescent="0.25">
      <c r="C56" s="224" t="s">
        <v>154</v>
      </c>
      <c r="E56" s="176">
        <v>5.0000000000000001E-3</v>
      </c>
      <c r="F56" s="310"/>
      <c r="G56" s="311"/>
      <c r="H56" s="311"/>
      <c r="I56" s="312"/>
      <c r="J56" s="312"/>
      <c r="M56" s="128"/>
      <c r="N56" s="128"/>
      <c r="O56" s="128"/>
      <c r="P56" s="128"/>
      <c r="Q56" s="128"/>
      <c r="AE56" s="525"/>
    </row>
    <row r="57" spans="2:31" ht="15.75" customHeight="1" outlineLevel="1" x14ac:dyDescent="0.25">
      <c r="AE57" s="525"/>
    </row>
    <row r="58" spans="2:31" ht="15.75" customHeight="1" outlineLevel="1" x14ac:dyDescent="0.25">
      <c r="C58" s="478" t="s">
        <v>332</v>
      </c>
      <c r="D58" s="121">
        <f>SUM(D37:D42)*Issuance_Fee_Pct</f>
        <v>24.228000000000012</v>
      </c>
      <c r="F58" s="481" t="s">
        <v>333</v>
      </c>
      <c r="I58" s="121">
        <f>D41*L54+D42*L55</f>
        <v>14.133000000000008</v>
      </c>
      <c r="AE58" s="525"/>
    </row>
    <row r="59" spans="2:31" ht="15.75" customHeight="1" outlineLevel="1" x14ac:dyDescent="0.25">
      <c r="C59" s="467" t="s">
        <v>324</v>
      </c>
      <c r="D59" s="121">
        <f>SUMPRODUCT(D37:D42,M50:M55)/SUM(D37:D42)</f>
        <v>7.9166666666666661</v>
      </c>
      <c r="F59" s="467" t="s">
        <v>324</v>
      </c>
      <c r="I59" s="121">
        <f>SUMPRODUCT(D41:D42,M54:M55)/SUM(D41:D42)</f>
        <v>10</v>
      </c>
      <c r="AE59" s="525"/>
    </row>
    <row r="60" spans="2:31" ht="15.75" customHeight="1" outlineLevel="1" x14ac:dyDescent="0.25">
      <c r="AE60" s="525"/>
    </row>
    <row r="61" spans="2:31" ht="15.75" customHeight="1" outlineLevel="1" x14ac:dyDescent="0.25">
      <c r="C61" s="478" t="s">
        <v>338</v>
      </c>
      <c r="D61" s="184">
        <v>1</v>
      </c>
      <c r="AE61" s="525"/>
    </row>
    <row r="62" spans="2:31" ht="15.75" customHeight="1" outlineLevel="1" x14ac:dyDescent="0.25">
      <c r="C62" s="478" t="s">
        <v>339</v>
      </c>
      <c r="D62" s="100">
        <v>45382</v>
      </c>
      <c r="AE62" s="525"/>
    </row>
    <row r="63" spans="2:31" ht="15.75" customHeight="1" x14ac:dyDescent="0.25">
      <c r="AE63" s="525"/>
    </row>
    <row r="64" spans="2:31" ht="15.75" customHeight="1" x14ac:dyDescent="0.25">
      <c r="B64" s="4" t="s">
        <v>76</v>
      </c>
      <c r="C64" s="5"/>
      <c r="D64" s="6"/>
      <c r="E64" s="7"/>
      <c r="F64" s="7"/>
      <c r="G64" s="7"/>
      <c r="H64" s="7"/>
      <c r="I64" s="7"/>
      <c r="J64" s="7"/>
      <c r="K64" s="7"/>
      <c r="L64" s="7"/>
      <c r="M64" s="6"/>
      <c r="N64" s="7"/>
      <c r="O64" s="7"/>
      <c r="P64" s="7"/>
      <c r="Q64" s="323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</row>
    <row r="65" spans="3:31" ht="15.75" customHeight="1" outlineLevel="1" x14ac:dyDescent="0.25"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</row>
    <row r="66" spans="3:31" ht="15.75" customHeight="1" outlineLevel="1" x14ac:dyDescent="0.25">
      <c r="C66" s="87" t="s">
        <v>77</v>
      </c>
      <c r="D66" s="29"/>
      <c r="E66" s="29" t="str">
        <f>+$D$36</f>
        <v>£ M GBP</v>
      </c>
      <c r="F66" s="129"/>
      <c r="G66" s="87" t="s">
        <v>78</v>
      </c>
      <c r="H66" s="29"/>
      <c r="I66" s="29"/>
      <c r="J66" s="29" t="s">
        <v>79</v>
      </c>
      <c r="K66" s="29" t="str">
        <f>+$D$36</f>
        <v>£ M GBP</v>
      </c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</row>
    <row r="67" spans="3:31" ht="15.75" customHeight="1" outlineLevel="1" x14ac:dyDescent="0.25">
      <c r="C67" s="131" t="s">
        <v>80</v>
      </c>
      <c r="D67" s="132"/>
      <c r="E67" s="307">
        <f>E18</f>
        <v>4324.2515006338535</v>
      </c>
      <c r="F67" s="129"/>
      <c r="G67" s="88" t="s">
        <v>81</v>
      </c>
      <c r="H67" s="133"/>
      <c r="I67" s="133"/>
      <c r="J67" s="134">
        <v>0.05</v>
      </c>
      <c r="K67" s="307">
        <f>J67*H122</f>
        <v>67.121641126105757</v>
      </c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</row>
    <row r="68" spans="3:31" ht="15.75" customHeight="1" outlineLevel="1" x14ac:dyDescent="0.25">
      <c r="C68" s="88" t="s">
        <v>90</v>
      </c>
      <c r="D68" s="132"/>
      <c r="E68" s="135">
        <f>-H144</f>
        <v>-2025.2574964114731</v>
      </c>
      <c r="F68" s="129"/>
      <c r="G68" s="88" t="s">
        <v>82</v>
      </c>
      <c r="H68" s="133"/>
      <c r="I68" s="133"/>
      <c r="J68" s="513">
        <v>25</v>
      </c>
      <c r="K68" s="132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</row>
    <row r="69" spans="3:31" ht="15.75" customHeight="1" outlineLevel="1" x14ac:dyDescent="0.25">
      <c r="C69" s="136" t="s">
        <v>91</v>
      </c>
      <c r="D69" s="137"/>
      <c r="E69" s="138">
        <f>H124</f>
        <v>340.8</v>
      </c>
      <c r="F69" s="129"/>
      <c r="G69" s="88" t="s">
        <v>393</v>
      </c>
      <c r="H69" s="133"/>
      <c r="I69" s="133"/>
      <c r="J69" s="133"/>
      <c r="K69" s="135">
        <f>PPE_Writeup/J68</f>
        <v>2.6848656450442303</v>
      </c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</row>
    <row r="70" spans="3:31" ht="15.75" customHeight="1" outlineLevel="1" x14ac:dyDescent="0.25">
      <c r="C70" s="71" t="s">
        <v>83</v>
      </c>
      <c r="D70" s="132"/>
      <c r="E70" s="139">
        <f>SUM(E67:E69)</f>
        <v>2639.7940042223809</v>
      </c>
      <c r="F70" s="129"/>
      <c r="G70" s="42"/>
      <c r="H70" s="133"/>
      <c r="I70" s="133"/>
      <c r="J70" s="133"/>
      <c r="K70" s="140"/>
      <c r="S70" s="525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</row>
    <row r="71" spans="3:31" ht="15.75" customHeight="1" outlineLevel="1" x14ac:dyDescent="0.25">
      <c r="C71" s="42"/>
      <c r="D71" s="132"/>
      <c r="E71" s="132"/>
      <c r="F71" s="129"/>
      <c r="G71" s="87" t="s">
        <v>84</v>
      </c>
      <c r="H71" s="29"/>
      <c r="I71" s="29"/>
      <c r="J71" s="29" t="s">
        <v>79</v>
      </c>
      <c r="K71" s="29" t="str">
        <f>+$D$36</f>
        <v>£ M GBP</v>
      </c>
      <c r="S71" s="525"/>
      <c r="T71" s="525"/>
      <c r="U71" s="525"/>
      <c r="V71" s="525"/>
      <c r="W71" s="525"/>
      <c r="X71" s="525"/>
      <c r="Y71" s="525"/>
      <c r="Z71" s="525"/>
      <c r="AA71" s="525"/>
      <c r="AB71" s="525"/>
      <c r="AC71" s="525"/>
      <c r="AD71" s="525"/>
    </row>
    <row r="72" spans="3:31" ht="15.75" customHeight="1" outlineLevel="1" x14ac:dyDescent="0.25">
      <c r="C72" s="88" t="s">
        <v>92</v>
      </c>
      <c r="D72" s="132"/>
      <c r="E72" s="135">
        <f>-PPE_Writeup</f>
        <v>-67.121641126105757</v>
      </c>
      <c r="F72" s="129"/>
      <c r="G72" s="141" t="s">
        <v>85</v>
      </c>
      <c r="H72" s="132"/>
      <c r="I72" s="133"/>
      <c r="J72" s="135"/>
      <c r="K72" s="307">
        <f>E70</f>
        <v>2639.7940042223809</v>
      </c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</row>
    <row r="73" spans="3:31" ht="15.75" customHeight="1" outlineLevel="1" x14ac:dyDescent="0.25">
      <c r="C73" s="88" t="s">
        <v>93</v>
      </c>
      <c r="D73" s="132"/>
      <c r="E73" s="135">
        <f>-K74-Def_Liv_Intang</f>
        <v>-263.97940042223809</v>
      </c>
      <c r="F73" s="129"/>
      <c r="G73" s="142"/>
      <c r="H73" s="132"/>
      <c r="I73" s="133"/>
      <c r="J73" s="132"/>
      <c r="K73" s="132"/>
      <c r="S73" s="525"/>
      <c r="T73" s="525"/>
      <c r="U73" s="525"/>
      <c r="V73" s="525"/>
      <c r="W73" s="525"/>
      <c r="X73" s="525"/>
      <c r="Y73" s="525"/>
      <c r="Z73" s="525"/>
      <c r="AA73" s="525"/>
      <c r="AB73" s="525"/>
      <c r="AC73" s="525"/>
      <c r="AD73" s="525"/>
    </row>
    <row r="74" spans="3:31" ht="15.75" customHeight="1" outlineLevel="1" x14ac:dyDescent="0.25">
      <c r="C74" s="88" t="s">
        <v>94</v>
      </c>
      <c r="D74" s="132"/>
      <c r="E74" s="135">
        <f>-H139</f>
        <v>-103.83555833774689</v>
      </c>
      <c r="F74" s="129"/>
      <c r="G74" s="88" t="s">
        <v>86</v>
      </c>
      <c r="H74" s="132"/>
      <c r="I74" s="133"/>
      <c r="J74" s="134">
        <v>0.05</v>
      </c>
      <c r="K74" s="135">
        <f>J74*K72</f>
        <v>131.98970021111904</v>
      </c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</row>
    <row r="75" spans="3:31" ht="15.75" customHeight="1" outlineLevel="1" x14ac:dyDescent="0.25">
      <c r="C75" s="136" t="s">
        <v>95</v>
      </c>
      <c r="D75" s="137"/>
      <c r="E75" s="143">
        <f>K80</f>
        <v>0</v>
      </c>
      <c r="F75" s="129"/>
      <c r="G75" s="142"/>
      <c r="H75" s="132"/>
      <c r="I75" s="133"/>
      <c r="J75" s="132"/>
      <c r="K75" s="132"/>
      <c r="S75" s="525"/>
      <c r="T75" s="526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</row>
    <row r="76" spans="3:31" ht="15.75" customHeight="1" outlineLevel="1" x14ac:dyDescent="0.25">
      <c r="C76" s="69" t="s">
        <v>88</v>
      </c>
      <c r="E76" s="314">
        <f>E70+SUM(E72:E75)</f>
        <v>2204.8574043362901</v>
      </c>
      <c r="F76" s="129"/>
      <c r="G76" s="88" t="s">
        <v>87</v>
      </c>
      <c r="H76" s="132"/>
      <c r="I76" s="133"/>
      <c r="J76" s="134">
        <v>0.05</v>
      </c>
      <c r="K76" s="135">
        <f>J76*K72</f>
        <v>131.98970021111904</v>
      </c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</row>
    <row r="77" spans="3:31" ht="15.75" customHeight="1" outlineLevel="1" x14ac:dyDescent="0.25">
      <c r="F77" s="129"/>
      <c r="G77" s="88" t="s">
        <v>325</v>
      </c>
      <c r="H77" s="132"/>
      <c r="I77" s="133"/>
      <c r="J77" s="513">
        <v>10</v>
      </c>
      <c r="K77" s="132"/>
      <c r="S77" s="525"/>
      <c r="T77" s="525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</row>
    <row r="78" spans="3:31" ht="15.75" customHeight="1" outlineLevel="1" x14ac:dyDescent="0.25">
      <c r="C78" s="144" t="s">
        <v>383</v>
      </c>
      <c r="E78" s="134">
        <v>6.5000000000000002E-2</v>
      </c>
      <c r="F78" s="129"/>
      <c r="G78" s="88" t="s">
        <v>392</v>
      </c>
      <c r="H78" s="133"/>
      <c r="I78" s="133"/>
      <c r="J78" s="133"/>
      <c r="K78" s="135">
        <f>Def_Liv_Intang/J77</f>
        <v>13.198970021111904</v>
      </c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</row>
    <row r="79" spans="3:31" ht="15.75" customHeight="1" outlineLevel="1" x14ac:dyDescent="0.25">
      <c r="E79" s="121"/>
      <c r="F79" s="145"/>
      <c r="G79" s="142"/>
      <c r="H79" s="124"/>
      <c r="I79" s="124"/>
      <c r="J79" s="133"/>
      <c r="K79" s="124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</row>
    <row r="80" spans="3:31" ht="15.75" customHeight="1" outlineLevel="1" x14ac:dyDescent="0.25">
      <c r="F80" s="130"/>
      <c r="G80" s="88" t="s">
        <v>89</v>
      </c>
      <c r="H80" s="133"/>
      <c r="I80" s="133"/>
      <c r="J80" s="133"/>
      <c r="K80" s="309">
        <v>0</v>
      </c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</row>
    <row r="81" spans="2:30" ht="15.75" customHeight="1" x14ac:dyDescent="0.25">
      <c r="S81" s="525"/>
      <c r="T81" s="525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</row>
    <row r="82" spans="2:30" ht="15.75" customHeight="1" x14ac:dyDescent="0.25">
      <c r="B82" s="12"/>
      <c r="C82" s="13"/>
      <c r="D82" s="14"/>
      <c r="E82" s="15" t="str">
        <f>Fin_Projections!$E$5</f>
        <v>Historical:</v>
      </c>
      <c r="F82" s="16"/>
      <c r="G82" s="16"/>
      <c r="H82" s="321" t="s">
        <v>276</v>
      </c>
      <c r="I82" s="17" t="s">
        <v>277</v>
      </c>
      <c r="J82" s="16"/>
      <c r="K82" s="16"/>
      <c r="L82" s="320" t="s">
        <v>276</v>
      </c>
      <c r="M82" s="15" t="s">
        <v>281</v>
      </c>
      <c r="N82" s="16"/>
      <c r="O82" s="16"/>
      <c r="P82" s="16"/>
      <c r="Q82" s="16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</row>
    <row r="83" spans="2:30" ht="15.75" customHeight="1" x14ac:dyDescent="0.25">
      <c r="B83" s="31" t="s">
        <v>41</v>
      </c>
      <c r="C83" s="19"/>
      <c r="D83" s="35" t="str">
        <f>$D$5</f>
        <v>Units:</v>
      </c>
      <c r="E83" s="1">
        <f>Fin_Projections!$E$6</f>
        <v>43190</v>
      </c>
      <c r="F83" s="1">
        <f>Fin_Projections!$F$6</f>
        <v>43555</v>
      </c>
      <c r="G83" s="2">
        <f>Fin_Projections!$G$6</f>
        <v>43921</v>
      </c>
      <c r="H83" s="319">
        <f>Close_Date</f>
        <v>44196</v>
      </c>
      <c r="I83" s="1" t="s">
        <v>278</v>
      </c>
      <c r="J83" s="1" t="s">
        <v>279</v>
      </c>
      <c r="K83" s="319">
        <f>Close_Date</f>
        <v>44196</v>
      </c>
      <c r="L83" s="319">
        <f>EOMONTH(G83,12)</f>
        <v>44286</v>
      </c>
      <c r="M83" s="1">
        <f>EOMONTH(L83,12)</f>
        <v>44651</v>
      </c>
      <c r="N83" s="1">
        <f t="shared" ref="N83:Q83" si="3">EOMONTH(M83,12)</f>
        <v>45016</v>
      </c>
      <c r="O83" s="1">
        <f t="shared" si="3"/>
        <v>45382</v>
      </c>
      <c r="P83" s="1">
        <f t="shared" si="3"/>
        <v>45747</v>
      </c>
      <c r="Q83" s="253">
        <f t="shared" si="3"/>
        <v>46112</v>
      </c>
      <c r="AC83" s="525"/>
      <c r="AD83" s="525"/>
    </row>
    <row r="84" spans="2:30" ht="15.75" customHeight="1" outlineLevel="1" x14ac:dyDescent="0.25">
      <c r="I84" s="161"/>
      <c r="J84" s="120"/>
      <c r="K84" s="162"/>
      <c r="AC84" s="525"/>
      <c r="AD84" s="525"/>
    </row>
    <row r="85" spans="2:30" ht="15.75" customHeight="1" outlineLevel="1" x14ac:dyDescent="0.25">
      <c r="C85" s="3" t="str">
        <f>Fin_Projections!$C$107</f>
        <v>Revenue:</v>
      </c>
      <c r="D85" s="48" t="s">
        <v>168</v>
      </c>
      <c r="E85" s="335">
        <f>Fin_Projections!E107</f>
        <v>788.9</v>
      </c>
      <c r="F85" s="335">
        <f>Fin_Projections!F107</f>
        <v>845.6</v>
      </c>
      <c r="G85" s="335">
        <f>Fin_Projections!G107</f>
        <v>753.2</v>
      </c>
      <c r="H85" s="325">
        <f>Fin_Projections!H107*Pre_Txn_Stub</f>
        <v>649.63692496422004</v>
      </c>
      <c r="I85" s="128"/>
      <c r="J85" s="128"/>
      <c r="K85" s="149"/>
      <c r="L85" s="276">
        <f>Fin_Projections!H107*Post_Txn_Stub</f>
        <v>212.60844817010837</v>
      </c>
      <c r="M85" s="335">
        <f>Fin_Projections!I107</f>
        <v>984.40245186865684</v>
      </c>
      <c r="N85" s="335">
        <f>Fin_Projections!J107</f>
        <v>1035.6008634803584</v>
      </c>
      <c r="O85" s="335">
        <f>Fin_Projections!K107</f>
        <v>1124.7171419211274</v>
      </c>
      <c r="P85" s="335">
        <f>Fin_Projections!L107</f>
        <v>1206.6838544248001</v>
      </c>
      <c r="Q85" s="335">
        <f>Fin_Projections!M107</f>
        <v>1291.7477636915796</v>
      </c>
      <c r="AC85" s="525"/>
      <c r="AD85" s="525"/>
    </row>
    <row r="86" spans="2:30" ht="15.75" customHeight="1" outlineLevel="1" x14ac:dyDescent="0.25">
      <c r="H86" s="348"/>
      <c r="I86" s="128"/>
      <c r="J86" s="128"/>
      <c r="K86" s="149"/>
      <c r="AC86" s="525"/>
      <c r="AD86" s="525"/>
    </row>
    <row r="87" spans="2:30" ht="15.75" customHeight="1" outlineLevel="1" x14ac:dyDescent="0.25">
      <c r="C87" s="3" t="str">
        <f>Fin_Projections!$C$109</f>
        <v>Cash Operating Expenses:</v>
      </c>
      <c r="E87" s="202"/>
      <c r="F87" s="202"/>
      <c r="G87" s="202"/>
      <c r="H87" s="326"/>
      <c r="I87" s="128"/>
      <c r="J87" s="128"/>
      <c r="K87" s="149"/>
      <c r="L87" s="202"/>
      <c r="M87" s="202"/>
      <c r="N87" s="202"/>
      <c r="O87" s="202"/>
      <c r="P87" s="202"/>
      <c r="Q87" s="202"/>
      <c r="AC87" s="525"/>
      <c r="AD87" s="525"/>
    </row>
    <row r="88" spans="2:30" ht="15.75" customHeight="1" outlineLevel="1" x14ac:dyDescent="0.25">
      <c r="C88" s="264" t="str">
        <f>Fin_Projections!$C$110</f>
        <v>(-) Employment Costs:</v>
      </c>
      <c r="D88" s="48" t="s">
        <v>168</v>
      </c>
      <c r="E88" s="306">
        <f>Fin_Projections!E110</f>
        <v>-137.30000000000001</v>
      </c>
      <c r="F88" s="306">
        <f>Fin_Projections!F110</f>
        <v>-139.5</v>
      </c>
      <c r="G88" s="306">
        <f>Fin_Projections!G110</f>
        <v>-125.5</v>
      </c>
      <c r="H88" s="349">
        <f>Fin_Projections!H110*Pre_Txn_Stub</f>
        <v>-113.47223747907896</v>
      </c>
      <c r="I88" s="128"/>
      <c r="J88" s="128"/>
      <c r="K88" s="149"/>
      <c r="L88" s="47">
        <f>Fin_Projections!H110*Post_Txn_Stub</f>
        <v>-37.136368629516745</v>
      </c>
      <c r="M88" s="306">
        <f>Fin_Projections!I110</f>
        <v>-170.29248722804698</v>
      </c>
      <c r="N88" s="306">
        <f>Fin_Projections!J110</f>
        <v>-179.14933722769052</v>
      </c>
      <c r="O88" s="306">
        <f>Fin_Projections!K110</f>
        <v>-192.67663958326264</v>
      </c>
      <c r="P88" s="306">
        <f>Fin_Projections!L110</f>
        <v>-206.7184551956031</v>
      </c>
      <c r="Q88" s="306">
        <f>Fin_Projections!M110</f>
        <v>-221.2908552919892</v>
      </c>
      <c r="AC88" s="525"/>
      <c r="AD88" s="525"/>
    </row>
    <row r="89" spans="2:30" ht="15.75" customHeight="1" outlineLevel="1" x14ac:dyDescent="0.25">
      <c r="C89" s="264" t="str">
        <f>Fin_Projections!$C$111</f>
        <v>(-) Raw Materials and Consumables Used:</v>
      </c>
      <c r="D89" s="48" t="s">
        <v>168</v>
      </c>
      <c r="E89" s="306">
        <f>Fin_Projections!E111</f>
        <v>-108.7</v>
      </c>
      <c r="F89" s="306">
        <f>Fin_Projections!F111</f>
        <v>-94.3</v>
      </c>
      <c r="G89" s="306">
        <f>Fin_Projections!G111</f>
        <v>-87.2</v>
      </c>
      <c r="H89" s="349">
        <f>Fin_Projections!H111*Pre_Txn_Stub</f>
        <v>-70.147996319771011</v>
      </c>
      <c r="I89" s="128"/>
      <c r="J89" s="128"/>
      <c r="K89" s="149"/>
      <c r="L89" s="47">
        <f>Fin_Projections!H111*Post_Txn_Stub</f>
        <v>-22.95752606828869</v>
      </c>
      <c r="M89" s="306">
        <f>Fin_Projections!I111</f>
        <v>-99.141537623880595</v>
      </c>
      <c r="N89" s="306">
        <f>Fin_Projections!J111</f>
        <v>-98.222249675582077</v>
      </c>
      <c r="O89" s="306">
        <f>Fin_Projections!K111</f>
        <v>-101.49616628648835</v>
      </c>
      <c r="P89" s="306">
        <f>Fin_Projections!L111</f>
        <v>-104.62265330807624</v>
      </c>
      <c r="Q89" s="306">
        <f>Fin_Projections!M111</f>
        <v>-107.60584203777441</v>
      </c>
      <c r="AC89" s="525"/>
      <c r="AD89" s="525"/>
    </row>
    <row r="90" spans="2:30" ht="15.75" customHeight="1" outlineLevel="1" x14ac:dyDescent="0.25">
      <c r="C90" s="264" t="str">
        <f>Fin_Projections!$C$112</f>
        <v>(-) Other Operating Expenses:</v>
      </c>
      <c r="D90" s="48" t="s">
        <v>168</v>
      </c>
      <c r="E90" s="306">
        <f>Fin_Projections!E112</f>
        <v>-392.69999999999993</v>
      </c>
      <c r="F90" s="306">
        <f>Fin_Projections!F112</f>
        <v>-462.5</v>
      </c>
      <c r="G90" s="306">
        <f>Fin_Projections!G112</f>
        <v>-338.6</v>
      </c>
      <c r="H90" s="349">
        <f>Fin_Projections!H112*Pre_Txn_Stub</f>
        <v>-292.04336536495606</v>
      </c>
      <c r="I90" s="159"/>
      <c r="J90" s="123"/>
      <c r="K90" s="160"/>
      <c r="L90" s="47">
        <f>Fin_Projections!H112*Post_Txn_Stub</f>
        <v>-95.577828664894696</v>
      </c>
      <c r="M90" s="306">
        <f>Fin_Projections!I112</f>
        <v>-442.53673685970153</v>
      </c>
      <c r="N90" s="306">
        <f>Fin_Projections!J112</f>
        <v>-465.55291074674636</v>
      </c>
      <c r="O90" s="306">
        <f>Fin_Projections!K112</f>
        <v>-505.61500830389508</v>
      </c>
      <c r="P90" s="306">
        <f>Fin_Projections!L112</f>
        <v>-542.46302855581155</v>
      </c>
      <c r="Q90" s="306">
        <f>Fin_Projections!M112</f>
        <v>-580.70338925380884</v>
      </c>
      <c r="AC90" s="525"/>
      <c r="AD90" s="525"/>
    </row>
    <row r="91" spans="2:30" ht="15.75" customHeight="1" outlineLevel="1" x14ac:dyDescent="0.25">
      <c r="C91" s="68" t="str">
        <f>Fin_Projections!$C$113</f>
        <v>Total Cash Operating Expenses:</v>
      </c>
      <c r="D91" s="106" t="s">
        <v>168</v>
      </c>
      <c r="E91" s="336">
        <f>SUM(E88:E90)</f>
        <v>-638.69999999999993</v>
      </c>
      <c r="F91" s="336">
        <f t="shared" ref="F91:G91" si="4">SUM(F88:F90)</f>
        <v>-696.3</v>
      </c>
      <c r="G91" s="336">
        <f t="shared" si="4"/>
        <v>-551.29999999999995</v>
      </c>
      <c r="H91" s="337">
        <f>SUM(H88:H90)</f>
        <v>-475.663599163806</v>
      </c>
      <c r="I91" s="128"/>
      <c r="J91" s="128"/>
      <c r="K91" s="149"/>
      <c r="L91" s="336">
        <f>SUM(L88:L90)</f>
        <v>-155.67172336270013</v>
      </c>
      <c r="M91" s="336">
        <f t="shared" ref="M91:Q91" si="5">SUM(M88:M90)</f>
        <v>-711.97076171162917</v>
      </c>
      <c r="N91" s="336">
        <f t="shared" si="5"/>
        <v>-742.92449765001902</v>
      </c>
      <c r="O91" s="336">
        <f t="shared" si="5"/>
        <v>-799.78781417364598</v>
      </c>
      <c r="P91" s="336">
        <f t="shared" si="5"/>
        <v>-853.80413705949081</v>
      </c>
      <c r="Q91" s="336">
        <f t="shared" si="5"/>
        <v>-909.60008658357242</v>
      </c>
      <c r="AC91" s="525"/>
      <c r="AD91" s="525"/>
    </row>
    <row r="92" spans="2:30" ht="15.75" customHeight="1" outlineLevel="1" x14ac:dyDescent="0.25">
      <c r="C92" s="264"/>
      <c r="D92" s="48"/>
      <c r="E92" s="294"/>
      <c r="F92" s="294"/>
      <c r="G92" s="294"/>
      <c r="H92" s="326"/>
      <c r="I92" s="128"/>
      <c r="J92" s="128"/>
      <c r="K92" s="149"/>
      <c r="L92" s="294"/>
      <c r="M92" s="294"/>
      <c r="N92" s="294"/>
      <c r="O92" s="294"/>
      <c r="P92" s="294"/>
      <c r="Q92" s="294"/>
      <c r="S92" s="24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</row>
    <row r="93" spans="2:30" ht="15.75" customHeight="1" outlineLevel="1" x14ac:dyDescent="0.25">
      <c r="C93" s="67" t="str">
        <f>Fin_Projections!$C$115</f>
        <v>Statutory EBITDA:</v>
      </c>
      <c r="D93" s="48" t="s">
        <v>168</v>
      </c>
      <c r="E93" s="338">
        <f>E85+E91</f>
        <v>150.20000000000005</v>
      </c>
      <c r="F93" s="338">
        <f t="shared" ref="F93:H93" si="6">F85+F91</f>
        <v>149.30000000000007</v>
      </c>
      <c r="G93" s="338">
        <f t="shared" si="6"/>
        <v>201.90000000000009</v>
      </c>
      <c r="H93" s="339">
        <f t="shared" si="6"/>
        <v>173.97332580041405</v>
      </c>
      <c r="I93" s="128"/>
      <c r="J93" s="128"/>
      <c r="K93" s="149"/>
      <c r="L93" s="338">
        <f>L85+L91</f>
        <v>56.93672480740824</v>
      </c>
      <c r="M93" s="338">
        <f t="shared" ref="M93:Q93" si="7">M85+M91</f>
        <v>272.43169015702767</v>
      </c>
      <c r="N93" s="338">
        <f t="shared" si="7"/>
        <v>292.67636583033936</v>
      </c>
      <c r="O93" s="338">
        <f t="shared" si="7"/>
        <v>324.92932774748147</v>
      </c>
      <c r="P93" s="338">
        <f t="shared" si="7"/>
        <v>352.87971736530926</v>
      </c>
      <c r="Q93" s="338">
        <f t="shared" si="7"/>
        <v>382.1476771080072</v>
      </c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</row>
    <row r="94" spans="2:30" ht="15.75" customHeight="1" outlineLevel="1" x14ac:dyDescent="0.25">
      <c r="C94" s="119" t="str">
        <f>Fin_Projections!$C$116</f>
        <v>(-) Depreciation of Owned PP&amp;E:</v>
      </c>
      <c r="D94" s="48" t="s">
        <v>168</v>
      </c>
      <c r="E94" s="306">
        <f>Fin_Projections!E116</f>
        <v>-52.39912328767123</v>
      </c>
      <c r="F94" s="306">
        <f>Fin_Projections!F116</f>
        <v>-48.579399141630901</v>
      </c>
      <c r="G94" s="306">
        <f>Fin_Projections!G116</f>
        <v>-47.899328859060404</v>
      </c>
      <c r="H94" s="349">
        <f>Fin_Projections!H116*Pre_Txn_Stub</f>
        <v>-37.734018264840188</v>
      </c>
      <c r="I94" s="128"/>
      <c r="J94" s="128"/>
      <c r="K94" s="149"/>
      <c r="L94" s="47">
        <f>Fin_Projections!H116*Post_Txn_Stub</f>
        <v>-12.349315068493151</v>
      </c>
      <c r="M94" s="306">
        <f>Fin_Projections!I116</f>
        <v>-53.5</v>
      </c>
      <c r="N94" s="306">
        <f>Fin_Projections!J116</f>
        <v>-58.25</v>
      </c>
      <c r="O94" s="306">
        <f>Fin_Projections!K116</f>
        <v>-66.400000000000006</v>
      </c>
      <c r="P94" s="306">
        <f>Fin_Projections!L116</f>
        <v>-69.866666666666674</v>
      </c>
      <c r="Q94" s="306">
        <f>Fin_Projections!M116</f>
        <v>-72</v>
      </c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25"/>
      <c r="AD94" s="525"/>
    </row>
    <row r="95" spans="2:30" ht="15.75" customHeight="1" outlineLevel="1" x14ac:dyDescent="0.25">
      <c r="C95" s="264" t="str">
        <f>Fin_Projections!$C$117</f>
        <v>(-) Amortisation of Existing Intangible Assets:</v>
      </c>
      <c r="D95" s="48" t="s">
        <v>168</v>
      </c>
      <c r="E95" s="306">
        <f>Fin_Projections!E117</f>
        <v>-3</v>
      </c>
      <c r="F95" s="306">
        <f>Fin_Projections!F117</f>
        <v>-4.5</v>
      </c>
      <c r="G95" s="306">
        <f>Fin_Projections!G117</f>
        <v>-4.0999999999999996</v>
      </c>
      <c r="H95" s="349">
        <f>Fin_Projections!H117*Pre_Txn_Stub</f>
        <v>-3.0890410958904106</v>
      </c>
      <c r="I95" s="128"/>
      <c r="J95" s="128"/>
      <c r="K95" s="149"/>
      <c r="L95" s="47">
        <f>Fin_Projections!H117*Post_Txn_Stub</f>
        <v>-1.010958904109589</v>
      </c>
      <c r="M95" s="306">
        <f>Fin_Projections!I117</f>
        <v>-4.0999999999999996</v>
      </c>
      <c r="N95" s="306">
        <f>Fin_Projections!J117</f>
        <v>-4.0999999999999996</v>
      </c>
      <c r="O95" s="306">
        <f>Fin_Projections!K117</f>
        <v>-4.0999999999999996</v>
      </c>
      <c r="P95" s="306">
        <f>Fin_Projections!L117</f>
        <v>-4.0999999999999996</v>
      </c>
      <c r="Q95" s="306">
        <f>Fin_Projections!M117</f>
        <v>-4.0999999999999996</v>
      </c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5"/>
    </row>
    <row r="96" spans="2:30" ht="15.75" customHeight="1" outlineLevel="1" x14ac:dyDescent="0.25">
      <c r="C96" s="264" t="str">
        <f>Fin_Projections!$C$118</f>
        <v>(-) Lease Depreciation:</v>
      </c>
      <c r="D96" s="48" t="s">
        <v>168</v>
      </c>
      <c r="E96" s="306">
        <f>Fin_Projections!E118</f>
        <v>-16.200876712328768</v>
      </c>
      <c r="F96" s="306">
        <f>Fin_Projections!F118</f>
        <v>-24.920600858369099</v>
      </c>
      <c r="G96" s="306">
        <f>Fin_Projections!G118</f>
        <v>-30.100671140939596</v>
      </c>
      <c r="H96" s="349">
        <f>Fin_Projections!H118*Pre_Txn_Stub</f>
        <v>-17.140410958904113</v>
      </c>
      <c r="I96" s="128"/>
      <c r="J96" s="128"/>
      <c r="K96" s="149"/>
      <c r="L96" s="47">
        <f>Fin_Projections!H118*Post_Txn_Stub</f>
        <v>-5.6095890410958908</v>
      </c>
      <c r="M96" s="306">
        <f>Fin_Projections!I118</f>
        <v>-23.1</v>
      </c>
      <c r="N96" s="306">
        <f>Fin_Projections!J118</f>
        <v>-23.450000000000003</v>
      </c>
      <c r="O96" s="306">
        <f>Fin_Projections!K118</f>
        <v>-27.2</v>
      </c>
      <c r="P96" s="306">
        <f>Fin_Projections!L118</f>
        <v>-27.6</v>
      </c>
      <c r="Q96" s="306">
        <f>Fin_Projections!M118</f>
        <v>-28</v>
      </c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</row>
    <row r="97" spans="2:30" ht="15.75" customHeight="1" outlineLevel="1" x14ac:dyDescent="0.25">
      <c r="C97" s="119" t="str">
        <f>Fin_Projections!$C$119</f>
        <v>(-) Lease Interest:</v>
      </c>
      <c r="D97" s="48" t="s">
        <v>168</v>
      </c>
      <c r="E97" s="306">
        <f>Fin_Projections!E119</f>
        <v>-16.3</v>
      </c>
      <c r="F97" s="306">
        <f>Fin_Projections!F119</f>
        <v>-27.629268292682926</v>
      </c>
      <c r="G97" s="306">
        <f>Fin_Projections!G119</f>
        <v>-27.828571428571433</v>
      </c>
      <c r="H97" s="349">
        <f>Fin_Projections!H119*Pre_Txn_Stub</f>
        <v>-17.140410958904113</v>
      </c>
      <c r="I97" s="128"/>
      <c r="J97" s="128"/>
      <c r="K97" s="149"/>
      <c r="L97" s="47">
        <f>Fin_Projections!H119*Post_Txn_Stub</f>
        <v>-5.6095890410958908</v>
      </c>
      <c r="M97" s="306">
        <f>Fin_Projections!I119</f>
        <v>-23.1</v>
      </c>
      <c r="N97" s="306">
        <f>Fin_Projections!J119</f>
        <v>-23.450000000000003</v>
      </c>
      <c r="O97" s="306">
        <f>Fin_Projections!K119</f>
        <v>-27.2</v>
      </c>
      <c r="P97" s="306">
        <f>Fin_Projections!L119</f>
        <v>-27.6</v>
      </c>
      <c r="Q97" s="306">
        <f>Fin_Projections!M119</f>
        <v>-28</v>
      </c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</row>
    <row r="98" spans="2:30" ht="15.75" customHeight="1" outlineLevel="1" x14ac:dyDescent="0.25">
      <c r="C98" s="331" t="s">
        <v>140</v>
      </c>
      <c r="D98" s="188" t="s">
        <v>168</v>
      </c>
      <c r="E98" s="346">
        <f>Fin_Projections!E120</f>
        <v>-14.8</v>
      </c>
      <c r="F98" s="346">
        <f>Fin_Projections!F120</f>
        <v>-17.170731707317071</v>
      </c>
      <c r="G98" s="346">
        <f>Fin_Projections!G120</f>
        <v>-20.87142857142857</v>
      </c>
      <c r="H98" s="332">
        <f>Fin_Projections!H120*Pre_Txn_Stub</f>
        <v>0</v>
      </c>
      <c r="I98" s="229"/>
      <c r="J98" s="229"/>
      <c r="K98" s="230"/>
      <c r="L98" s="231">
        <f>-SUM(L212:L217)</f>
        <v>-21.158013698630146</v>
      </c>
      <c r="M98" s="231">
        <f t="shared" ref="M98:Q98" si="8">-SUM(M212:M217)</f>
        <v>-86.692620873412324</v>
      </c>
      <c r="N98" s="231">
        <f t="shared" si="8"/>
        <v>-87.015693987499418</v>
      </c>
      <c r="O98" s="231">
        <f t="shared" si="8"/>
        <v>-87.277665787514962</v>
      </c>
      <c r="P98" s="231">
        <f t="shared" si="8"/>
        <v>-87.817284160523059</v>
      </c>
      <c r="Q98" s="231">
        <f t="shared" si="8"/>
        <v>-85.71247180437831</v>
      </c>
      <c r="S98" s="525"/>
      <c r="T98" s="526"/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</row>
    <row r="99" spans="2:30" ht="15.75" customHeight="1" outlineLevel="1" x14ac:dyDescent="0.25">
      <c r="C99" s="330" t="s">
        <v>286</v>
      </c>
      <c r="D99" s="177" t="s">
        <v>168</v>
      </c>
      <c r="E99" s="356"/>
      <c r="F99" s="356"/>
      <c r="G99" s="356"/>
      <c r="H99" s="179"/>
      <c r="I99" s="227"/>
      <c r="J99" s="227"/>
      <c r="K99" s="228"/>
      <c r="L99" s="178">
        <f>-L228</f>
        <v>-0.24891780821917819</v>
      </c>
      <c r="M99" s="178">
        <f t="shared" ref="M99:Q99" si="9">-M228</f>
        <v>-0.8566208527148037</v>
      </c>
      <c r="N99" s="178">
        <f t="shared" si="9"/>
        <v>-0.90640990140110944</v>
      </c>
      <c r="O99" s="178">
        <f t="shared" si="9"/>
        <v>-0.97929415313107471</v>
      </c>
      <c r="P99" s="178">
        <f t="shared" si="9"/>
        <v>-1.0095000000000005</v>
      </c>
      <c r="Q99" s="178">
        <f t="shared" si="9"/>
        <v>-1.0095000000000005</v>
      </c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5"/>
    </row>
    <row r="100" spans="2:30" ht="15.75" customHeight="1" outlineLevel="1" x14ac:dyDescent="0.25">
      <c r="C100" s="329" t="s">
        <v>326</v>
      </c>
      <c r="D100" s="177" t="s">
        <v>168</v>
      </c>
      <c r="E100" s="178"/>
      <c r="F100" s="178"/>
      <c r="G100" s="178"/>
      <c r="H100" s="179"/>
      <c r="I100" s="227"/>
      <c r="J100" s="227"/>
      <c r="K100" s="228"/>
      <c r="L100" s="178">
        <f>-MIN(Issuance_Fees+SUM($K100:K100),Issuance_Fees/Issuance_Fee_Amort_Period*Post_Txn_Stub)</f>
        <v>-0.75461398702235083</v>
      </c>
      <c r="M100" s="178">
        <f>-MIN(Issuance_Fees+SUM($K100:L100),Issuance_Fees/Issuance_Fee_Amort_Period)</f>
        <v>-3.0603789473684229</v>
      </c>
      <c r="N100" s="178">
        <f>-MIN(Issuance_Fees+SUM($K100:M100),Issuance_Fees/Issuance_Fee_Amort_Period)</f>
        <v>-3.0603789473684229</v>
      </c>
      <c r="O100" s="178">
        <f>-MIN(Issuance_Fees+SUM($K100:N100),Issuance_Fees/Issuance_Fee_Amort_Period)</f>
        <v>-3.0603789473684229</v>
      </c>
      <c r="P100" s="178">
        <f>-MIN(Issuance_Fees+SUM($K100:O100),Issuance_Fees/Issuance_Fee_Amort_Period)</f>
        <v>-3.0603789473684229</v>
      </c>
      <c r="Q100" s="178">
        <f>-MIN(Issuance_Fees+SUM($K100:P100),Issuance_Fees/Issuance_Fee_Amort_Period)</f>
        <v>-3.0603789473684229</v>
      </c>
      <c r="S100" s="525"/>
      <c r="T100" s="525"/>
      <c r="U100" s="525"/>
      <c r="V100" s="525"/>
      <c r="W100" s="525"/>
      <c r="X100" s="525"/>
      <c r="Y100" s="525"/>
      <c r="Z100" s="525"/>
      <c r="AA100" s="525"/>
      <c r="AB100" s="525"/>
      <c r="AC100" s="525"/>
    </row>
    <row r="101" spans="2:30" ht="15.75" customHeight="1" outlineLevel="1" x14ac:dyDescent="0.25">
      <c r="C101" s="330" t="s">
        <v>327</v>
      </c>
      <c r="D101" s="177" t="s">
        <v>168</v>
      </c>
      <c r="E101" s="178"/>
      <c r="F101" s="178"/>
      <c r="G101" s="178"/>
      <c r="H101" s="179"/>
      <c r="I101" s="227"/>
      <c r="J101" s="227"/>
      <c r="K101" s="228"/>
      <c r="L101" s="178">
        <f>-MIN(OID+SUM($K101:K101),OID/OID_Amort_Period*Post_Txn_Stub)</f>
        <v>-0.3484849315068495</v>
      </c>
      <c r="M101" s="178">
        <f>-MIN(OID+SUM($K101:L101),OID/OID_Amort_Period)</f>
        <v>-1.4133000000000009</v>
      </c>
      <c r="N101" s="178">
        <f>-MIN(OID+SUM($K101:M101),OID/OID_Amort_Period)</f>
        <v>-1.4133000000000009</v>
      </c>
      <c r="O101" s="178">
        <f>-MIN(OID+SUM($K101:N101),OID/OID_Amort_Period)</f>
        <v>-1.4133000000000009</v>
      </c>
      <c r="P101" s="178">
        <f>-MIN(OID+SUM($K101:O101),OID/OID_Amort_Period)</f>
        <v>-1.4133000000000009</v>
      </c>
      <c r="Q101" s="178">
        <f>-MIN(OID+SUM($K101:P101),OID/OID_Amort_Period)</f>
        <v>-1.4133000000000009</v>
      </c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</row>
    <row r="102" spans="2:30" ht="15.75" customHeight="1" outlineLevel="1" x14ac:dyDescent="0.25">
      <c r="C102" s="329" t="s">
        <v>328</v>
      </c>
      <c r="D102" s="177" t="s">
        <v>168</v>
      </c>
      <c r="E102" s="178"/>
      <c r="F102" s="178"/>
      <c r="G102" s="178"/>
      <c r="H102" s="179"/>
      <c r="I102" s="227"/>
      <c r="J102" s="227"/>
      <c r="K102" s="228"/>
      <c r="L102" s="178">
        <f>-MIN(Def_Liv_Intang+SUM($K102:K102),Intang_Amort*Post_Txn_Stub)</f>
        <v>-3.2545405531508802</v>
      </c>
      <c r="M102" s="178">
        <f>-MIN(Def_Liv_Intang+SUM($K102:L102),Intang_Amort)</f>
        <v>-13.198970021111904</v>
      </c>
      <c r="N102" s="178">
        <f>-MIN(Def_Liv_Intang+SUM($K102:M102),Intang_Amort)</f>
        <v>-13.198970021111904</v>
      </c>
      <c r="O102" s="178">
        <f>-MIN(Def_Liv_Intang+SUM($K102:N102),Intang_Amort)</f>
        <v>-13.198970021111904</v>
      </c>
      <c r="P102" s="178">
        <f>-MIN(Def_Liv_Intang+SUM($K102:O102),Intang_Amort)</f>
        <v>-13.198970021111904</v>
      </c>
      <c r="Q102" s="178">
        <f>-MIN(Def_Liv_Intang+SUM($K102:P102),Intang_Amort)</f>
        <v>-13.198970021111904</v>
      </c>
      <c r="S102" s="525"/>
      <c r="T102" s="525"/>
      <c r="U102" s="525"/>
      <c r="V102" s="525"/>
      <c r="W102" s="525"/>
      <c r="X102" s="525"/>
      <c r="Y102" s="525"/>
      <c r="Z102" s="525"/>
      <c r="AA102" s="525"/>
      <c r="AB102" s="525"/>
      <c r="AC102" s="525"/>
    </row>
    <row r="103" spans="2:30" ht="15.75" customHeight="1" outlineLevel="1" x14ac:dyDescent="0.25">
      <c r="C103" s="329" t="s">
        <v>284</v>
      </c>
      <c r="D103" s="177" t="s">
        <v>168</v>
      </c>
      <c r="E103" s="178"/>
      <c r="F103" s="178"/>
      <c r="G103" s="178"/>
      <c r="H103" s="179"/>
      <c r="I103" s="227"/>
      <c r="J103" s="227"/>
      <c r="K103" s="228"/>
      <c r="L103" s="178">
        <f>-MIN(PPE_Writeup+SUM($K103:K103),PPE_Depr*Post_Txn_Stub)</f>
        <v>-0.66202166590131706</v>
      </c>
      <c r="M103" s="178">
        <f>-MIN(PPE_Writeup+SUM($K103:L103),PPE_Depr)</f>
        <v>-2.6848656450442303</v>
      </c>
      <c r="N103" s="178">
        <f>-MIN(PPE_Writeup+SUM($K103:M103),PPE_Depr)</f>
        <v>-2.6848656450442303</v>
      </c>
      <c r="O103" s="178">
        <f>-MIN(PPE_Writeup+SUM($K103:N103),PPE_Depr)</f>
        <v>-2.6848656450442303</v>
      </c>
      <c r="P103" s="178">
        <f>-MIN(PPE_Writeup+SUM($K103:O103),PPE_Depr)</f>
        <v>-2.6848656450442303</v>
      </c>
      <c r="Q103" s="178">
        <f>-MIN(PPE_Writeup+SUM($K103:P103),PPE_Depr)</f>
        <v>-2.6848656450442303</v>
      </c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</row>
    <row r="104" spans="2:30" ht="15.75" customHeight="1" outlineLevel="1" x14ac:dyDescent="0.25">
      <c r="C104" s="333" t="str">
        <f>Fin_Projections!$C$121</f>
        <v>(+) Finance Income:</v>
      </c>
      <c r="D104" s="191" t="s">
        <v>168</v>
      </c>
      <c r="E104" s="347">
        <f>Fin_Projections!E121</f>
        <v>21.8</v>
      </c>
      <c r="F104" s="347">
        <f>Fin_Projections!F121</f>
        <v>20</v>
      </c>
      <c r="G104" s="347">
        <f>Fin_Projections!G121</f>
        <v>22.5</v>
      </c>
      <c r="H104" s="334">
        <f>Fin_Projections!H121*Pre_Txn_Stub</f>
        <v>0</v>
      </c>
      <c r="I104" s="232"/>
      <c r="J104" s="232"/>
      <c r="K104" s="233"/>
      <c r="L104" s="234">
        <f>-L218</f>
        <v>0</v>
      </c>
      <c r="M104" s="234">
        <f t="shared" ref="M104:Q104" si="10">-M218</f>
        <v>0.5756664681665068</v>
      </c>
      <c r="N104" s="234">
        <f t="shared" si="10"/>
        <v>0.7573903952617842</v>
      </c>
      <c r="O104" s="234">
        <f t="shared" si="10"/>
        <v>0.90322148714899886</v>
      </c>
      <c r="P104" s="234">
        <f t="shared" si="10"/>
        <v>1.1800041345922769</v>
      </c>
      <c r="Q104" s="234">
        <f t="shared" si="10"/>
        <v>1.8417516985759912</v>
      </c>
      <c r="S104" s="525"/>
      <c r="T104" s="525"/>
      <c r="U104" s="525"/>
      <c r="V104" s="525"/>
      <c r="W104" s="525"/>
      <c r="X104" s="525"/>
      <c r="Y104" s="525"/>
      <c r="Z104" s="525"/>
      <c r="AA104" s="525"/>
      <c r="AB104" s="525"/>
      <c r="AC104" s="525"/>
    </row>
    <row r="105" spans="2:30" ht="15.75" customHeight="1" outlineLevel="1" x14ac:dyDescent="0.25">
      <c r="C105" s="169" t="str">
        <f>Fin_Projections!$C$122</f>
        <v>(-) Impairment of Goodwill:</v>
      </c>
      <c r="D105" s="48" t="s">
        <v>168</v>
      </c>
      <c r="E105" s="340">
        <f>Fin_Projections!E122</f>
        <v>0</v>
      </c>
      <c r="F105" s="340">
        <f>Fin_Projections!F122</f>
        <v>0</v>
      </c>
      <c r="G105" s="340">
        <f>Fin_Projections!G122</f>
        <v>0</v>
      </c>
      <c r="H105" s="341">
        <f>Fin_Projections!H122*Pre_Txn_Stub</f>
        <v>0</v>
      </c>
      <c r="I105" s="447"/>
      <c r="J105" s="448"/>
      <c r="K105" s="449"/>
      <c r="L105" s="109">
        <f>Fin_Projections!H122*Post_Txn_Stub</f>
        <v>0</v>
      </c>
      <c r="M105" s="340">
        <f>Fin_Projections!I122</f>
        <v>0</v>
      </c>
      <c r="N105" s="340">
        <f>Fin_Projections!J122</f>
        <v>0</v>
      </c>
      <c r="O105" s="340">
        <f>Fin_Projections!K122</f>
        <v>0</v>
      </c>
      <c r="P105" s="340">
        <f>Fin_Projections!L122</f>
        <v>0</v>
      </c>
      <c r="Q105" s="340">
        <f>Fin_Projections!M122</f>
        <v>0</v>
      </c>
      <c r="S105" s="525"/>
      <c r="T105" s="525"/>
      <c r="U105" s="525"/>
      <c r="V105" s="525"/>
      <c r="W105" s="525"/>
      <c r="X105" s="525"/>
      <c r="Y105" s="525"/>
      <c r="Z105" s="525"/>
      <c r="AA105" s="525"/>
      <c r="AB105" s="525"/>
      <c r="AC105" s="525"/>
    </row>
    <row r="106" spans="2:30" ht="15.75" customHeight="1" outlineLevel="1" x14ac:dyDescent="0.25">
      <c r="C106" s="32" t="str">
        <f>Fin_Projections!$C$123</f>
        <v>Pre-Tax Income:</v>
      </c>
      <c r="D106" s="106" t="s">
        <v>168</v>
      </c>
      <c r="E106" s="336">
        <f>SUM(E93:E105)</f>
        <v>69.300000000000054</v>
      </c>
      <c r="F106" s="336">
        <f t="shared" ref="F106:G106" si="11">SUM(F93:F105)</f>
        <v>46.500000000000071</v>
      </c>
      <c r="G106" s="336">
        <f t="shared" si="11"/>
        <v>93.600000000000094</v>
      </c>
      <c r="H106" s="337">
        <f t="shared" ref="H106" si="12">SUM(H93:H105)</f>
        <v>98.869444521875209</v>
      </c>
      <c r="I106" s="161"/>
      <c r="J106" s="120"/>
      <c r="K106" s="162"/>
      <c r="L106" s="336">
        <f>SUM(L93:L105)</f>
        <v>5.9306801081830027</v>
      </c>
      <c r="M106" s="336">
        <f t="shared" ref="M106:Q106" si="13">SUM(M93:M105)</f>
        <v>61.300600285542515</v>
      </c>
      <c r="N106" s="336">
        <f t="shared" si="13"/>
        <v>75.904137723176063</v>
      </c>
      <c r="O106" s="336">
        <f t="shared" si="13"/>
        <v>92.318074680459915</v>
      </c>
      <c r="P106" s="336">
        <f t="shared" si="13"/>
        <v>115.70875605918724</v>
      </c>
      <c r="Q106" s="336">
        <f t="shared" si="13"/>
        <v>144.8099423886803</v>
      </c>
      <c r="S106" s="525"/>
      <c r="T106" s="525"/>
      <c r="U106" s="525"/>
      <c r="V106" s="525"/>
      <c r="W106" s="525"/>
      <c r="X106" s="525"/>
      <c r="Y106" s="525"/>
      <c r="Z106" s="525"/>
      <c r="AA106" s="525"/>
      <c r="AB106" s="525"/>
      <c r="AC106" s="525"/>
    </row>
    <row r="107" spans="2:30" ht="15.75" customHeight="1" outlineLevel="1" x14ac:dyDescent="0.25">
      <c r="C107" s="224" t="str">
        <f>Fin_Projections!$C$124</f>
        <v>(-) Income Taxes / (+) Benefits:</v>
      </c>
      <c r="D107" s="45" t="s">
        <v>168</v>
      </c>
      <c r="E107" s="306">
        <f>Fin_Projections!E124</f>
        <v>-37.4</v>
      </c>
      <c r="F107" s="306">
        <f>Fin_Projections!F124</f>
        <v>-4.9000000000000004</v>
      </c>
      <c r="G107" s="306">
        <f>Fin_Projections!G124</f>
        <v>-24.6</v>
      </c>
      <c r="H107" s="349">
        <f>Fin_Projections!H124*Pre_Txn_Stub</f>
        <v>-18.785194459156301</v>
      </c>
      <c r="I107" s="159"/>
      <c r="J107" s="123"/>
      <c r="K107" s="160"/>
      <c r="L107" s="345">
        <f>-L106*Fin_Projections!H53</f>
        <v>-1.1268292205547705</v>
      </c>
      <c r="M107" s="345">
        <f>-M106*Fin_Projections!I53</f>
        <v>-11.647114054253079</v>
      </c>
      <c r="N107" s="345">
        <f>-N106*Fin_Projections!J53</f>
        <v>-14.421786167403452</v>
      </c>
      <c r="O107" s="345">
        <f>-O106*Fin_Projections!K53</f>
        <v>-23.079518670114979</v>
      </c>
      <c r="P107" s="345">
        <f>-P106*Fin_Projections!L53</f>
        <v>-28.927189014796809</v>
      </c>
      <c r="Q107" s="345">
        <f>-Q106*Fin_Projections!M53</f>
        <v>-36.202485597170075</v>
      </c>
      <c r="S107" s="525"/>
      <c r="T107" s="525"/>
      <c r="U107" s="525"/>
      <c r="V107" s="525"/>
      <c r="W107" s="525"/>
      <c r="X107" s="525"/>
      <c r="Y107" s="525"/>
      <c r="Z107" s="525"/>
      <c r="AA107" s="525"/>
      <c r="AB107" s="525"/>
      <c r="AC107" s="525"/>
    </row>
    <row r="108" spans="2:30" ht="15.75" customHeight="1" outlineLevel="1" x14ac:dyDescent="0.25">
      <c r="C108" s="32" t="str">
        <f>Fin_Projections!$C$125</f>
        <v>Net Income:</v>
      </c>
      <c r="D108" s="106" t="s">
        <v>168</v>
      </c>
      <c r="E108" s="336">
        <f>SUM(E106:E107)</f>
        <v>31.900000000000055</v>
      </c>
      <c r="F108" s="336">
        <f t="shared" ref="F108:H108" si="14">SUM(F106:F107)</f>
        <v>41.600000000000072</v>
      </c>
      <c r="G108" s="336">
        <f t="shared" si="14"/>
        <v>69.000000000000085</v>
      </c>
      <c r="H108" s="337">
        <f t="shared" si="14"/>
        <v>80.084250062718908</v>
      </c>
      <c r="I108" s="161"/>
      <c r="J108" s="120"/>
      <c r="K108" s="162"/>
      <c r="L108" s="336">
        <f>SUM(L106:L107)</f>
        <v>4.803850887628232</v>
      </c>
      <c r="M108" s="336">
        <f t="shared" ref="M108:Q108" si="15">SUM(M106:M107)</f>
        <v>49.653486231289435</v>
      </c>
      <c r="N108" s="336">
        <f t="shared" si="15"/>
        <v>61.48235155577261</v>
      </c>
      <c r="O108" s="336">
        <f t="shared" si="15"/>
        <v>69.238556010344936</v>
      </c>
      <c r="P108" s="336">
        <f t="shared" si="15"/>
        <v>86.781567044390428</v>
      </c>
      <c r="Q108" s="336">
        <f t="shared" si="15"/>
        <v>108.60745679151023</v>
      </c>
      <c r="S108" s="525"/>
      <c r="T108" s="525"/>
      <c r="U108" s="525"/>
      <c r="V108" s="525"/>
      <c r="W108" s="525"/>
      <c r="X108" s="525"/>
      <c r="Y108" s="525"/>
      <c r="Z108" s="525"/>
      <c r="AA108" s="525"/>
      <c r="AB108" s="525"/>
      <c r="AC108" s="525"/>
    </row>
    <row r="109" spans="2:30" ht="15.75" customHeight="1" outlineLevel="1" x14ac:dyDescent="0.25">
      <c r="C109" s="264" t="str">
        <f>Fin_Projections!$C$126</f>
        <v>(+) Net Income from Joint Ventures:</v>
      </c>
      <c r="D109" s="45" t="s">
        <v>168</v>
      </c>
      <c r="E109" s="342">
        <f>Fin_Projections!E126</f>
        <v>8</v>
      </c>
      <c r="F109" s="342">
        <f>Fin_Projections!F126</f>
        <v>12.4</v>
      </c>
      <c r="G109" s="342">
        <f>Fin_Projections!G126</f>
        <v>14.8</v>
      </c>
      <c r="H109" s="350">
        <f>Fin_Projections!H126*Pre_Txn_Stub</f>
        <v>11.320205479452055</v>
      </c>
      <c r="I109" s="159"/>
      <c r="J109" s="123"/>
      <c r="K109" s="160"/>
      <c r="L109" s="351">
        <f>Fin_Projections!H126*Post_Txn_Stub</f>
        <v>3.7047945205479449</v>
      </c>
      <c r="M109" s="342">
        <f>Fin_Projections!I126</f>
        <v>15.791293830372712</v>
      </c>
      <c r="N109" s="342">
        <f>Fin_Projections!J126</f>
        <v>16.156265768448275</v>
      </c>
      <c r="O109" s="342">
        <f>Fin_Projections!K126</f>
        <v>16.034211953428262</v>
      </c>
      <c r="P109" s="342">
        <f>Fin_Projections!L126</f>
        <v>15.357734312565544</v>
      </c>
      <c r="Q109" s="342">
        <f>Fin_Projections!M126</f>
        <v>16.903759064949437</v>
      </c>
      <c r="S109" s="525"/>
      <c r="T109" s="525"/>
      <c r="U109" s="525"/>
      <c r="V109" s="525"/>
      <c r="W109" s="525"/>
      <c r="X109" s="525"/>
      <c r="Y109" s="525"/>
      <c r="Z109" s="525"/>
      <c r="AA109" s="525"/>
      <c r="AB109" s="525"/>
      <c r="AC109" s="525"/>
    </row>
    <row r="110" spans="2:30" ht="15.75" customHeight="1" outlineLevel="1" x14ac:dyDescent="0.25">
      <c r="C110" s="68" t="str">
        <f>Fin_Projections!$C$127</f>
        <v>Net Income to Parent:</v>
      </c>
      <c r="D110" s="48" t="s">
        <v>168</v>
      </c>
      <c r="E110" s="343">
        <f>SUM(E108:E109)</f>
        <v>39.900000000000055</v>
      </c>
      <c r="F110" s="343">
        <f t="shared" ref="F110:H110" si="16">SUM(F108:F109)</f>
        <v>54.000000000000071</v>
      </c>
      <c r="G110" s="343">
        <f t="shared" si="16"/>
        <v>83.800000000000082</v>
      </c>
      <c r="H110" s="344">
        <f t="shared" si="16"/>
        <v>91.404455542170965</v>
      </c>
      <c r="I110" s="128"/>
      <c r="J110" s="128"/>
      <c r="K110" s="149"/>
      <c r="L110" s="343">
        <f>SUM(L108:L109)</f>
        <v>8.5086454081761769</v>
      </c>
      <c r="M110" s="343">
        <f t="shared" ref="M110:Q110" si="17">SUM(M108:M109)</f>
        <v>65.444780061662144</v>
      </c>
      <c r="N110" s="343">
        <f t="shared" si="17"/>
        <v>77.638617324220888</v>
      </c>
      <c r="O110" s="343">
        <f t="shared" si="17"/>
        <v>85.272767963773191</v>
      </c>
      <c r="P110" s="343">
        <f t="shared" si="17"/>
        <v>102.13930135695597</v>
      </c>
      <c r="Q110" s="343">
        <f t="shared" si="17"/>
        <v>125.51121585645967</v>
      </c>
      <c r="S110" s="525"/>
      <c r="T110" s="525"/>
      <c r="U110" s="525"/>
      <c r="V110" s="525"/>
      <c r="W110" s="525"/>
      <c r="X110" s="525"/>
      <c r="Y110" s="525"/>
      <c r="Z110" s="525"/>
      <c r="AA110" s="525"/>
      <c r="AB110" s="525"/>
      <c r="AC110" s="525"/>
    </row>
    <row r="111" spans="2:30" ht="15.75" customHeight="1" x14ac:dyDescent="0.25">
      <c r="C111" s="3"/>
      <c r="E111" s="158"/>
      <c r="F111" s="158"/>
      <c r="G111" s="128"/>
      <c r="H111" s="128"/>
      <c r="I111" s="128"/>
      <c r="J111" s="128"/>
      <c r="K111" s="378"/>
      <c r="S111" s="525"/>
      <c r="T111" s="525"/>
      <c r="U111" s="525"/>
      <c r="V111" s="525"/>
      <c r="W111" s="525"/>
      <c r="X111" s="525"/>
      <c r="Y111" s="525"/>
      <c r="Z111" s="525"/>
      <c r="AA111" s="525"/>
      <c r="AB111" s="525"/>
      <c r="AC111" s="525"/>
    </row>
    <row r="112" spans="2:30" ht="15.75" customHeight="1" x14ac:dyDescent="0.25">
      <c r="B112" s="12"/>
      <c r="C112" s="13"/>
      <c r="D112" s="14"/>
      <c r="E112" s="15" t="str">
        <f>$E$82</f>
        <v>Historical:</v>
      </c>
      <c r="F112" s="16"/>
      <c r="G112" s="16"/>
      <c r="H112" s="321" t="str">
        <f>$H$82</f>
        <v>Stub:</v>
      </c>
      <c r="I112" s="17" t="str">
        <f>$I$82</f>
        <v>Transaction Adjustments:</v>
      </c>
      <c r="J112" s="16"/>
      <c r="K112" s="16"/>
      <c r="L112" s="320" t="str">
        <f>$L$82</f>
        <v>Stub:</v>
      </c>
      <c r="M112" s="15" t="str">
        <f>$M$82</f>
        <v>Post-Transaction - Projected:</v>
      </c>
      <c r="N112" s="16"/>
      <c r="O112" s="16"/>
      <c r="P112" s="16"/>
      <c r="Q112" s="16"/>
      <c r="S112" s="525"/>
      <c r="T112" s="525"/>
      <c r="U112" s="525"/>
      <c r="V112" s="525"/>
      <c r="W112" s="525"/>
      <c r="X112" s="525"/>
      <c r="Y112" s="525"/>
      <c r="Z112" s="525"/>
      <c r="AA112" s="525"/>
      <c r="AB112" s="525"/>
      <c r="AC112" s="525"/>
    </row>
    <row r="113" spans="2:30" ht="15.75" customHeight="1" x14ac:dyDescent="0.25">
      <c r="B113" s="31" t="s">
        <v>43</v>
      </c>
      <c r="C113" s="19"/>
      <c r="D113" s="35" t="str">
        <f>$D$5</f>
        <v>Units:</v>
      </c>
      <c r="E113" s="1">
        <f>$E$83</f>
        <v>43190</v>
      </c>
      <c r="F113" s="1">
        <f>$F$83</f>
        <v>43555</v>
      </c>
      <c r="G113" s="2">
        <f>$G$83</f>
        <v>43921</v>
      </c>
      <c r="H113" s="319">
        <f>$H$83</f>
        <v>44196</v>
      </c>
      <c r="I113" s="1" t="str">
        <f>$I$83</f>
        <v>Debit</v>
      </c>
      <c r="J113" s="1" t="str">
        <f>$J$83</f>
        <v>Credit</v>
      </c>
      <c r="K113" s="319">
        <f>$K$83</f>
        <v>44196</v>
      </c>
      <c r="L113" s="319">
        <f>$L$83</f>
        <v>44286</v>
      </c>
      <c r="M113" s="1">
        <f>$M$83</f>
        <v>44651</v>
      </c>
      <c r="N113" s="1">
        <f>$N$83</f>
        <v>45016</v>
      </c>
      <c r="O113" s="1">
        <f>$O$83</f>
        <v>45382</v>
      </c>
      <c r="P113" s="1">
        <f>$P$83</f>
        <v>45747</v>
      </c>
      <c r="Q113" s="253">
        <f>$Q$83</f>
        <v>46112</v>
      </c>
      <c r="S113" s="525"/>
      <c r="T113" s="525"/>
      <c r="U113" s="525"/>
      <c r="V113" s="525"/>
      <c r="W113" s="525"/>
      <c r="X113" s="525"/>
      <c r="Y113" s="525"/>
      <c r="Z113" s="525"/>
      <c r="AA113" s="525"/>
      <c r="AB113" s="525"/>
      <c r="AC113" s="525"/>
    </row>
    <row r="114" spans="2:30" ht="15.75" customHeight="1" outlineLevel="1" x14ac:dyDescent="0.25">
      <c r="B114" s="64" t="str">
        <f>Fin_Projections!B131</f>
        <v>ASSETS:</v>
      </c>
      <c r="C114" s="70"/>
      <c r="D114" s="146"/>
      <c r="E114" s="163"/>
      <c r="F114" s="163"/>
      <c r="G114" s="163"/>
      <c r="H114" s="163"/>
      <c r="I114" s="164"/>
      <c r="J114" s="163"/>
      <c r="K114" s="165"/>
      <c r="L114" s="163"/>
      <c r="M114" s="163"/>
      <c r="N114" s="163"/>
      <c r="O114" s="163"/>
      <c r="P114" s="163"/>
      <c r="Q114" s="163"/>
      <c r="S114" s="525"/>
      <c r="T114" s="525"/>
      <c r="U114" s="525"/>
      <c r="V114" s="525"/>
      <c r="W114" s="525"/>
      <c r="X114" s="525"/>
      <c r="Y114" s="525"/>
      <c r="Z114" s="525"/>
      <c r="AA114" s="525"/>
      <c r="AB114" s="525"/>
      <c r="AC114" s="525"/>
    </row>
    <row r="115" spans="2:30" ht="15.75" customHeight="1" outlineLevel="1" x14ac:dyDescent="0.25">
      <c r="B115" s="22"/>
      <c r="C115" s="71" t="str">
        <f>Fin_Projections!$C$132</f>
        <v>Current Assets:</v>
      </c>
      <c r="D115" s="115"/>
      <c r="E115" s="166"/>
      <c r="F115" s="166"/>
      <c r="G115" s="166"/>
      <c r="H115" s="166"/>
      <c r="I115" s="167"/>
      <c r="J115" s="166"/>
      <c r="K115" s="168"/>
      <c r="L115" s="166"/>
      <c r="M115" s="166"/>
      <c r="N115" s="166"/>
      <c r="O115" s="166"/>
      <c r="P115" s="166"/>
      <c r="Q115" s="166"/>
      <c r="S115" s="525"/>
      <c r="T115" s="525"/>
      <c r="U115" s="525"/>
      <c r="V115" s="525"/>
      <c r="W115" s="525"/>
      <c r="X115" s="525"/>
      <c r="Y115" s="525"/>
      <c r="Z115" s="525"/>
      <c r="AA115" s="525"/>
      <c r="AB115" s="525"/>
      <c r="AC115" s="525"/>
    </row>
    <row r="116" spans="2:30" ht="15.75" customHeight="1" outlineLevel="1" x14ac:dyDescent="0.25">
      <c r="C116" s="380" t="str">
        <f>Fin_Projections!$C$133</f>
        <v>Cash &amp; Cash-Equivalents:</v>
      </c>
      <c r="D116" s="193" t="s">
        <v>168</v>
      </c>
      <c r="E116" s="392">
        <f>Fin_Projections!E133</f>
        <v>44.6</v>
      </c>
      <c r="F116" s="392">
        <f>Fin_Projections!F133</f>
        <v>36.299999999999997</v>
      </c>
      <c r="G116" s="392">
        <f>Fin_Projections!G133</f>
        <v>33.299999999999997</v>
      </c>
      <c r="H116" s="393">
        <f>G116+H185</f>
        <v>124.25150063385391</v>
      </c>
      <c r="I116" s="400">
        <v>0</v>
      </c>
      <c r="J116" s="393">
        <f>-H116</f>
        <v>-124.25150063385391</v>
      </c>
      <c r="K116" s="394">
        <f>SUM(H116:J116)</f>
        <v>0</v>
      </c>
      <c r="L116" s="393">
        <f>L194</f>
        <v>38.377764544433788</v>
      </c>
      <c r="M116" s="393">
        <f t="shared" ref="M116:Q116" si="18">M194</f>
        <v>43.279451157816233</v>
      </c>
      <c r="N116" s="393">
        <f t="shared" si="18"/>
        <v>45.161074357449941</v>
      </c>
      <c r="O116" s="393">
        <f t="shared" si="18"/>
        <v>52.444628204101193</v>
      </c>
      <c r="P116" s="393">
        <f t="shared" si="18"/>
        <v>73.670067943039641</v>
      </c>
      <c r="Q116" s="393">
        <f t="shared" si="18"/>
        <v>96.970368816339629</v>
      </c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</row>
    <row r="117" spans="2:30" ht="15.75" customHeight="1" outlineLevel="1" x14ac:dyDescent="0.25">
      <c r="C117" s="119" t="str">
        <f>Fin_Projections!$C$134</f>
        <v>Accounts Receivable:</v>
      </c>
      <c r="D117" s="48" t="s">
        <v>168</v>
      </c>
      <c r="E117" s="306">
        <f>Fin_Projections!E134</f>
        <v>105.3</v>
      </c>
      <c r="F117" s="306">
        <f>Fin_Projections!F134</f>
        <v>131.1</v>
      </c>
      <c r="G117" s="306">
        <f>Fin_Projections!G134</f>
        <v>277.89999999999998</v>
      </c>
      <c r="H117" s="345">
        <f>G117+(Fin_Projections!H134-Fin_Projections!G134)*Pre_Txn_Stub</f>
        <v>308.88894990799429</v>
      </c>
      <c r="I117" s="374">
        <v>0</v>
      </c>
      <c r="J117" s="82">
        <v>0</v>
      </c>
      <c r="K117" s="357">
        <f t="shared" ref="K117:K118" si="19">SUM(H117:J117)</f>
        <v>308.88894990799429</v>
      </c>
      <c r="L117" s="306">
        <f>Fin_Projections!H134</f>
        <v>319.03078805970154</v>
      </c>
      <c r="M117" s="306">
        <f>Fin_Projections!I134</f>
        <v>369.1509194507463</v>
      </c>
      <c r="N117" s="306">
        <f>Fin_Projections!J134</f>
        <v>393.52832812253621</v>
      </c>
      <c r="O117" s="306">
        <f>Fin_Projections!K134</f>
        <v>433.01609963963409</v>
      </c>
      <c r="P117" s="306">
        <f>Fin_Projections!L134</f>
        <v>470.60670322567205</v>
      </c>
      <c r="Q117" s="306">
        <f>Fin_Projections!M134</f>
        <v>510.24036665817397</v>
      </c>
      <c r="S117" s="525"/>
      <c r="T117" s="525"/>
      <c r="U117" s="525"/>
      <c r="V117" s="525"/>
      <c r="W117" s="525"/>
      <c r="X117" s="525"/>
      <c r="Y117" s="525"/>
      <c r="Z117" s="525"/>
      <c r="AA117" s="525"/>
      <c r="AB117" s="525"/>
      <c r="AC117" s="525"/>
    </row>
    <row r="118" spans="2:30" ht="15.75" customHeight="1" outlineLevel="1" x14ac:dyDescent="0.25">
      <c r="C118" s="395" t="str">
        <f>Fin_Projections!$C$135</f>
        <v>Inventories &amp; Other:</v>
      </c>
      <c r="D118" s="193" t="s">
        <v>168</v>
      </c>
      <c r="E118" s="381">
        <f>Fin_Projections!E135</f>
        <v>171.29999999999998</v>
      </c>
      <c r="F118" s="381">
        <f>Fin_Projections!F135</f>
        <v>194</v>
      </c>
      <c r="G118" s="381">
        <f>Fin_Projections!G135</f>
        <v>29.9</v>
      </c>
      <c r="H118" s="396">
        <f>G118+(Fin_Projections!H135-Fin_Projections!G135)*Pre_Txn_Stub</f>
        <v>31.924401451645874</v>
      </c>
      <c r="I118" s="383">
        <f>K38</f>
        <v>0</v>
      </c>
      <c r="J118" s="194">
        <v>0</v>
      </c>
      <c r="K118" s="397">
        <f t="shared" si="19"/>
        <v>31.924401451645874</v>
      </c>
      <c r="L118" s="382">
        <f>Fin_Projections!H135+$K$38</f>
        <v>32.586932835820889</v>
      </c>
      <c r="M118" s="382">
        <f>Fin_Projections!I135+$K$38</f>
        <v>35.690953544597015</v>
      </c>
      <c r="N118" s="382">
        <f>Fin_Projections!J135+$K$38</f>
        <v>36.342232379965367</v>
      </c>
      <c r="O118" s="382">
        <f>Fin_Projections!K135+$K$38</f>
        <v>38.568543188865576</v>
      </c>
      <c r="P118" s="382">
        <f>Fin_Projections!L135+$K$38</f>
        <v>40.802834790149731</v>
      </c>
      <c r="Q118" s="382">
        <f>Fin_Projections!M135+$K$38</f>
        <v>43.042336815109763</v>
      </c>
      <c r="S118" s="525"/>
      <c r="T118" s="525"/>
      <c r="U118" s="525"/>
      <c r="V118" s="525"/>
      <c r="W118" s="525"/>
      <c r="X118" s="525"/>
      <c r="Y118" s="525"/>
      <c r="Z118" s="525"/>
      <c r="AA118" s="525"/>
      <c r="AB118" s="525"/>
      <c r="AC118" s="525"/>
    </row>
    <row r="119" spans="2:30" ht="15.75" customHeight="1" outlineLevel="1" x14ac:dyDescent="0.25">
      <c r="C119" s="68" t="str">
        <f>Fin_Projections!$C$136</f>
        <v>Total Current Assets:</v>
      </c>
      <c r="D119" s="48" t="s">
        <v>168</v>
      </c>
      <c r="E119" s="33">
        <f>SUM(E116:E118)</f>
        <v>321.2</v>
      </c>
      <c r="F119" s="33">
        <f t="shared" ref="F119:G119" si="20">SUM(F116:F118)</f>
        <v>361.4</v>
      </c>
      <c r="G119" s="33">
        <f t="shared" si="20"/>
        <v>341.09999999999997</v>
      </c>
      <c r="H119" s="33">
        <f>SUM(H116:H118)</f>
        <v>465.06485199349402</v>
      </c>
      <c r="I119" s="167"/>
      <c r="J119" s="166"/>
      <c r="K119" s="76">
        <f>SUM(K116:K118)</f>
        <v>340.81335135964014</v>
      </c>
      <c r="L119" s="33">
        <f>SUM(L116:L118)</f>
        <v>389.99548543995621</v>
      </c>
      <c r="M119" s="33">
        <f t="shared" ref="M119:Q119" si="21">SUM(M116:M118)</f>
        <v>448.12132415315955</v>
      </c>
      <c r="N119" s="33">
        <f t="shared" si="21"/>
        <v>475.03163485995151</v>
      </c>
      <c r="O119" s="33">
        <f t="shared" si="21"/>
        <v>524.02927103260083</v>
      </c>
      <c r="P119" s="33">
        <f t="shared" si="21"/>
        <v>585.07960595886141</v>
      </c>
      <c r="Q119" s="33">
        <f t="shared" si="21"/>
        <v>650.25307228962333</v>
      </c>
      <c r="S119" s="525"/>
      <c r="T119" s="525"/>
      <c r="U119" s="525"/>
      <c r="V119" s="525"/>
      <c r="W119" s="525"/>
      <c r="X119" s="525"/>
      <c r="Y119" s="525"/>
      <c r="Z119" s="525"/>
      <c r="AA119" s="525"/>
      <c r="AB119" s="525"/>
      <c r="AC119" s="525"/>
      <c r="AD119" s="245"/>
    </row>
    <row r="120" spans="2:30" ht="15.75" customHeight="1" outlineLevel="1" x14ac:dyDescent="0.25">
      <c r="C120" s="20"/>
      <c r="E120" s="121"/>
      <c r="F120" s="121"/>
      <c r="G120" s="121"/>
      <c r="H120" s="121"/>
      <c r="I120" s="167"/>
      <c r="J120" s="166"/>
      <c r="K120" s="152"/>
      <c r="L120" s="121"/>
      <c r="M120" s="121"/>
      <c r="N120" s="121"/>
      <c r="O120" s="121"/>
      <c r="P120" s="121"/>
      <c r="Q120" s="121"/>
      <c r="S120" s="525"/>
      <c r="T120" s="525"/>
      <c r="U120" s="525"/>
      <c r="V120" s="525"/>
      <c r="W120" s="525"/>
      <c r="X120" s="525"/>
      <c r="Y120" s="525"/>
      <c r="Z120" s="525"/>
      <c r="AA120" s="525"/>
      <c r="AB120" s="525"/>
      <c r="AC120" s="525"/>
      <c r="AD120" s="245"/>
    </row>
    <row r="121" spans="2:30" ht="15.75" customHeight="1" outlineLevel="1" x14ac:dyDescent="0.25">
      <c r="C121" s="67" t="str">
        <f>Fin_Projections!$C$138</f>
        <v>Long-Term Assets:</v>
      </c>
      <c r="E121" s="121"/>
      <c r="F121" s="121"/>
      <c r="G121" s="121"/>
      <c r="H121" s="121"/>
      <c r="I121" s="167"/>
      <c r="J121" s="166"/>
      <c r="K121" s="152"/>
      <c r="L121" s="121"/>
      <c r="M121" s="121"/>
      <c r="N121" s="121"/>
      <c r="O121" s="121"/>
      <c r="P121" s="121"/>
      <c r="Q121" s="121"/>
      <c r="S121" s="525"/>
      <c r="T121" s="525"/>
      <c r="U121" s="525"/>
      <c r="V121" s="525"/>
      <c r="W121" s="525"/>
      <c r="X121" s="525"/>
      <c r="Y121" s="525"/>
      <c r="Z121" s="525"/>
      <c r="AA121" s="525"/>
      <c r="AB121" s="525"/>
      <c r="AC121" s="525"/>
      <c r="AD121" s="245"/>
    </row>
    <row r="122" spans="2:30" ht="15.75" customHeight="1" outlineLevel="1" x14ac:dyDescent="0.25">
      <c r="C122" s="380" t="str">
        <f>Fin_Projections!$C$139</f>
        <v>Net PP&amp;E:</v>
      </c>
      <c r="D122" s="193" t="s">
        <v>168</v>
      </c>
      <c r="E122" s="381">
        <f>Fin_Projections!E139</f>
        <v>1079.8</v>
      </c>
      <c r="F122" s="381">
        <f>Fin_Projections!F139</f>
        <v>1249.8</v>
      </c>
      <c r="G122" s="381">
        <f>Fin_Projections!G139</f>
        <v>1333.1000000000001</v>
      </c>
      <c r="H122" s="382">
        <f>G122-H156-H171-H172</f>
        <v>1342.4328225221152</v>
      </c>
      <c r="I122" s="383">
        <f>PPE_Writeup</f>
        <v>67.121641126105757</v>
      </c>
      <c r="J122" s="194">
        <v>0</v>
      </c>
      <c r="K122" s="384">
        <f t="shared" ref="K122:K127" si="22">SUM(H122:J122)</f>
        <v>1409.5544636482209</v>
      </c>
      <c r="L122" s="382">
        <f>K122-L156-L162-L171-L172</f>
        <v>1411.9468202622845</v>
      </c>
      <c r="M122" s="382">
        <f t="shared" ref="M122:Q122" si="23">L122-M156-M162-M171-M172</f>
        <v>1447.4850238332469</v>
      </c>
      <c r="N122" s="382">
        <f t="shared" si="23"/>
        <v>1510.477099203631</v>
      </c>
      <c r="O122" s="382">
        <f t="shared" si="23"/>
        <v>1566.0126203858845</v>
      </c>
      <c r="P122" s="382">
        <f t="shared" si="23"/>
        <v>1582.3889545280877</v>
      </c>
      <c r="Q122" s="382">
        <f t="shared" si="23"/>
        <v>1560.8106153154172</v>
      </c>
      <c r="S122" s="525"/>
      <c r="T122" s="525"/>
      <c r="U122" s="525"/>
      <c r="V122" s="525"/>
      <c r="W122" s="525"/>
      <c r="X122" s="525"/>
      <c r="Y122" s="525"/>
      <c r="Z122" s="525"/>
      <c r="AA122" s="525"/>
      <c r="AB122" s="525"/>
      <c r="AC122" s="525"/>
      <c r="AD122" s="245"/>
    </row>
    <row r="123" spans="2:30" ht="15.75" customHeight="1" outlineLevel="1" x14ac:dyDescent="0.25">
      <c r="C123" s="260" t="str">
        <f>Fin_Projections!$C$140</f>
        <v>Finance/Op. Lease Assets:</v>
      </c>
      <c r="D123" s="113" t="s">
        <v>168</v>
      </c>
      <c r="E123" s="340">
        <f>Fin_Projections!E140</f>
        <v>175.3</v>
      </c>
      <c r="F123" s="340">
        <f>Fin_Projections!F140</f>
        <v>162.69999999999999</v>
      </c>
      <c r="G123" s="340">
        <f>Fin_Projections!G140</f>
        <v>251.8</v>
      </c>
      <c r="H123" s="109">
        <f>G123-H158-H173</f>
        <v>291.16643835616441</v>
      </c>
      <c r="I123" s="374">
        <v>0</v>
      </c>
      <c r="J123" s="82">
        <v>0</v>
      </c>
      <c r="K123" s="358">
        <f t="shared" si="22"/>
        <v>291.16643835616441</v>
      </c>
      <c r="L123" s="534">
        <f>K123-L158-L173</f>
        <v>304.05</v>
      </c>
      <c r="M123" s="109">
        <f t="shared" ref="M123:Q123" si="24">L123-M158-M173</f>
        <v>355.95</v>
      </c>
      <c r="N123" s="109">
        <f t="shared" si="24"/>
        <v>407.5</v>
      </c>
      <c r="O123" s="109">
        <f t="shared" si="24"/>
        <v>455.3</v>
      </c>
      <c r="P123" s="109">
        <f t="shared" si="24"/>
        <v>502.7</v>
      </c>
      <c r="Q123" s="109">
        <f t="shared" si="24"/>
        <v>549.70000000000005</v>
      </c>
      <c r="S123" s="525"/>
      <c r="T123" s="525"/>
      <c r="U123" s="525"/>
      <c r="V123" s="525"/>
      <c r="W123" s="525"/>
      <c r="X123" s="525"/>
      <c r="Y123" s="525"/>
      <c r="Z123" s="525"/>
      <c r="AA123" s="525"/>
      <c r="AB123" s="525"/>
      <c r="AC123" s="525"/>
      <c r="AD123" s="245"/>
    </row>
    <row r="124" spans="2:30" ht="15.75" customHeight="1" outlineLevel="1" x14ac:dyDescent="0.25">
      <c r="C124" s="385" t="str">
        <f>Fin_Projections!$C$141</f>
        <v>Goodwill:</v>
      </c>
      <c r="D124" s="188" t="s">
        <v>168</v>
      </c>
      <c r="E124" s="346">
        <f>Fin_Projections!E141</f>
        <v>330.4</v>
      </c>
      <c r="F124" s="346">
        <f>Fin_Projections!F141</f>
        <v>330.4</v>
      </c>
      <c r="G124" s="346">
        <f>Fin_Projections!G141</f>
        <v>340.8</v>
      </c>
      <c r="H124" s="189">
        <f>G124-H164</f>
        <v>340.8</v>
      </c>
      <c r="I124" s="386">
        <f>Goodwill</f>
        <v>2204.8574043362901</v>
      </c>
      <c r="J124" s="231">
        <f>-E69</f>
        <v>-340.8</v>
      </c>
      <c r="K124" s="387">
        <f t="shared" si="22"/>
        <v>2204.8574043362901</v>
      </c>
      <c r="L124" s="189">
        <f>K124-L164</f>
        <v>2204.8574043362901</v>
      </c>
      <c r="M124" s="189">
        <f t="shared" ref="M124:Q124" si="25">L124-M164</f>
        <v>2204.8574043362901</v>
      </c>
      <c r="N124" s="189">
        <f t="shared" si="25"/>
        <v>2204.8574043362901</v>
      </c>
      <c r="O124" s="189">
        <f t="shared" si="25"/>
        <v>2204.8574043362901</v>
      </c>
      <c r="P124" s="189">
        <f t="shared" si="25"/>
        <v>2204.8574043362901</v>
      </c>
      <c r="Q124" s="189">
        <f t="shared" si="25"/>
        <v>2204.8574043362901</v>
      </c>
      <c r="S124" s="525"/>
      <c r="T124" s="525"/>
      <c r="U124" s="525"/>
      <c r="V124" s="525"/>
      <c r="W124" s="525"/>
      <c r="X124" s="525"/>
      <c r="Y124" s="525"/>
      <c r="Z124" s="525"/>
      <c r="AA124" s="525"/>
      <c r="AB124" s="525"/>
      <c r="AC124" s="525"/>
      <c r="AD124" s="245"/>
    </row>
    <row r="125" spans="2:30" ht="15.75" customHeight="1" outlineLevel="1" x14ac:dyDescent="0.25">
      <c r="C125" s="388" t="str">
        <f>Fin_Projections!$C$142</f>
        <v>Other Intangible Assets:</v>
      </c>
      <c r="D125" s="191" t="s">
        <v>168</v>
      </c>
      <c r="E125" s="347">
        <f>Fin_Projections!E142</f>
        <v>70.7</v>
      </c>
      <c r="F125" s="347">
        <f>Fin_Projections!F142</f>
        <v>90.9</v>
      </c>
      <c r="G125" s="347">
        <f>Fin_Projections!G142</f>
        <v>86.9</v>
      </c>
      <c r="H125" s="389">
        <f>G125-H157</f>
        <v>83.810958904109597</v>
      </c>
      <c r="I125" s="402">
        <f>-E73</f>
        <v>263.97940042223809</v>
      </c>
      <c r="J125" s="205">
        <v>0</v>
      </c>
      <c r="K125" s="391">
        <f t="shared" si="22"/>
        <v>347.7903593263477</v>
      </c>
      <c r="L125" s="389">
        <f>K125-L157-L161</f>
        <v>343.52485986908721</v>
      </c>
      <c r="M125" s="389">
        <f t="shared" ref="M125:Q125" si="26">L125-M157-M161</f>
        <v>326.22588984797528</v>
      </c>
      <c r="N125" s="389">
        <f t="shared" si="26"/>
        <v>308.92691982686335</v>
      </c>
      <c r="O125" s="389">
        <f t="shared" si="26"/>
        <v>291.62794980575143</v>
      </c>
      <c r="P125" s="389">
        <f t="shared" si="26"/>
        <v>274.3289797846395</v>
      </c>
      <c r="Q125" s="389">
        <f t="shared" si="26"/>
        <v>257.03000976352757</v>
      </c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245"/>
    </row>
    <row r="126" spans="2:30" ht="15.75" customHeight="1" outlineLevel="1" x14ac:dyDescent="0.25">
      <c r="C126" s="260" t="str">
        <f>Fin_Projections!$C$143</f>
        <v>Joint Ventures:</v>
      </c>
      <c r="D126" s="113" t="s">
        <v>168</v>
      </c>
      <c r="E126" s="340">
        <f>Fin_Projections!E143</f>
        <v>23.7</v>
      </c>
      <c r="F126" s="340">
        <f>Fin_Projections!F143</f>
        <v>51.1</v>
      </c>
      <c r="G126" s="340">
        <f>Fin_Projections!G143</f>
        <v>60.1</v>
      </c>
      <c r="H126" s="109">
        <f>G126-H154-H155</f>
        <v>67.697178731841646</v>
      </c>
      <c r="I126" s="374">
        <v>0</v>
      </c>
      <c r="J126" s="82">
        <v>0</v>
      </c>
      <c r="K126" s="358">
        <f t="shared" si="22"/>
        <v>67.697178731841646</v>
      </c>
      <c r="L126" s="534">
        <f>K126-L154-L155</f>
        <v>70.183528134989828</v>
      </c>
      <c r="M126" s="109">
        <f t="shared" ref="M126:Q126" si="27">L126-M154-M155</f>
        <v>80.781328842241379</v>
      </c>
      <c r="N126" s="109">
        <f t="shared" si="27"/>
        <v>91.624068305304363</v>
      </c>
      <c r="O126" s="109">
        <f t="shared" si="27"/>
        <v>102.38489541710364</v>
      </c>
      <c r="P126" s="109">
        <f t="shared" si="27"/>
        <v>112.69172709966293</v>
      </c>
      <c r="Q126" s="109">
        <f t="shared" si="27"/>
        <v>124.03612178309102</v>
      </c>
      <c r="S126" s="525"/>
      <c r="T126" s="525"/>
      <c r="U126" s="525"/>
      <c r="V126" s="525"/>
      <c r="W126" s="525"/>
      <c r="X126" s="525"/>
      <c r="Y126" s="525"/>
      <c r="Z126" s="525"/>
      <c r="AA126" s="525"/>
      <c r="AB126" s="525"/>
      <c r="AC126" s="525"/>
      <c r="AD126" s="245"/>
    </row>
    <row r="127" spans="2:30" ht="15.75" customHeight="1" outlineLevel="1" x14ac:dyDescent="0.25">
      <c r="C127" s="122" t="str">
        <f>Fin_Projections!$C$144</f>
        <v>Other Long-Term Assets:</v>
      </c>
      <c r="D127" s="45" t="s">
        <v>168</v>
      </c>
      <c r="E127" s="342">
        <f>Fin_Projections!E144</f>
        <v>263.60000000000002</v>
      </c>
      <c r="F127" s="342">
        <f>Fin_Projections!F144</f>
        <v>256.3</v>
      </c>
      <c r="G127" s="342">
        <f>Fin_Projections!G144</f>
        <v>261.5</v>
      </c>
      <c r="H127" s="353">
        <f>G127+(Fin_Projections!H144-Fin_Projections!G144)*Pre_Txn_Stub</f>
        <v>277.65128514171948</v>
      </c>
      <c r="I127" s="375">
        <v>0</v>
      </c>
      <c r="J127" s="108">
        <v>0</v>
      </c>
      <c r="K127" s="359">
        <f t="shared" si="22"/>
        <v>277.65128514171948</v>
      </c>
      <c r="L127" s="342">
        <f>Fin_Projections!H144</f>
        <v>282.9371602790095</v>
      </c>
      <c r="M127" s="342">
        <f>Fin_Projections!I144</f>
        <v>323.02177892930376</v>
      </c>
      <c r="N127" s="342">
        <f>Fin_Projections!J144</f>
        <v>339.82202355056887</v>
      </c>
      <c r="O127" s="342">
        <f>Fin_Projections!K144</f>
        <v>369.06463538971246</v>
      </c>
      <c r="P127" s="342">
        <f>Fin_Projections!L144</f>
        <v>395.961188964587</v>
      </c>
      <c r="Q127" s="342">
        <f>Fin_Projections!M144</f>
        <v>423.87405655433793</v>
      </c>
      <c r="S127" s="525"/>
      <c r="T127" s="525"/>
      <c r="U127" s="525"/>
      <c r="V127" s="525"/>
      <c r="W127" s="525"/>
      <c r="X127" s="525"/>
      <c r="Y127" s="525"/>
      <c r="Z127" s="525"/>
      <c r="AA127" s="525"/>
      <c r="AB127" s="525"/>
      <c r="AC127" s="525"/>
      <c r="AD127" s="245"/>
    </row>
    <row r="128" spans="2:30" ht="15.75" customHeight="1" outlineLevel="1" x14ac:dyDescent="0.25">
      <c r="C128" s="69" t="str">
        <f>Fin_Projections!$C$145</f>
        <v>Total Long-Term Assets:</v>
      </c>
      <c r="D128" s="48" t="s">
        <v>168</v>
      </c>
      <c r="E128" s="36">
        <f>SUM(E122:E127)</f>
        <v>1943.5</v>
      </c>
      <c r="F128" s="36">
        <f t="shared" ref="F128:G128" si="28">SUM(F122:F127)</f>
        <v>2141.2000000000003</v>
      </c>
      <c r="G128" s="36">
        <f t="shared" si="28"/>
        <v>2334.2000000000003</v>
      </c>
      <c r="H128" s="36">
        <f>SUM(H122:H127)</f>
        <v>2403.5586836559505</v>
      </c>
      <c r="I128" s="167"/>
      <c r="J128" s="166"/>
      <c r="K128" s="78">
        <f>SUM(K122:K127)</f>
        <v>4598.7171295405842</v>
      </c>
      <c r="L128" s="36">
        <f>SUM(L122:L127)</f>
        <v>4617.4997728816606</v>
      </c>
      <c r="M128" s="36">
        <f t="shared" ref="M128:Q128" si="29">SUM(M122:M127)</f>
        <v>4738.3214257890568</v>
      </c>
      <c r="N128" s="36">
        <f t="shared" si="29"/>
        <v>4863.207515222658</v>
      </c>
      <c r="O128" s="36">
        <f t="shared" si="29"/>
        <v>4989.2475053347416</v>
      </c>
      <c r="P128" s="36">
        <f t="shared" si="29"/>
        <v>5072.9282547132661</v>
      </c>
      <c r="Q128" s="36">
        <f t="shared" si="29"/>
        <v>5120.3082077526633</v>
      </c>
      <c r="S128" s="525"/>
      <c r="T128" s="525"/>
      <c r="U128" s="525"/>
      <c r="V128" s="525"/>
      <c r="W128" s="525"/>
      <c r="X128" s="525"/>
      <c r="Y128" s="525"/>
      <c r="Z128" s="525"/>
      <c r="AA128" s="525"/>
      <c r="AB128" s="525"/>
      <c r="AC128" s="525"/>
      <c r="AD128" s="245"/>
    </row>
    <row r="129" spans="2:30" ht="15.75" customHeight="1" outlineLevel="1" x14ac:dyDescent="0.25">
      <c r="C129" s="20"/>
      <c r="E129" s="121"/>
      <c r="F129" s="121"/>
      <c r="G129" s="121"/>
      <c r="H129" s="121"/>
      <c r="I129" s="167"/>
      <c r="J129" s="166"/>
      <c r="K129" s="152"/>
      <c r="L129" s="121"/>
      <c r="M129" s="121"/>
      <c r="N129" s="121"/>
      <c r="O129" s="121"/>
      <c r="P129" s="121"/>
      <c r="Q129" s="121"/>
      <c r="S129" s="525"/>
      <c r="T129" s="525"/>
      <c r="U129" s="525"/>
      <c r="V129" s="525"/>
      <c r="W129" s="525"/>
      <c r="X129" s="525"/>
      <c r="Y129" s="525"/>
      <c r="Z129" s="525"/>
      <c r="AA129" s="525"/>
      <c r="AB129" s="525"/>
      <c r="AC129" s="525"/>
      <c r="AD129" s="245"/>
    </row>
    <row r="130" spans="2:30" ht="15.75" customHeight="1" outlineLevel="1" x14ac:dyDescent="0.25">
      <c r="C130" s="67" t="str">
        <f>Fin_Projections!$C$147</f>
        <v>TOTAL ASSETS:</v>
      </c>
      <c r="D130" s="48" t="s">
        <v>168</v>
      </c>
      <c r="E130" s="265">
        <f>E119+E128</f>
        <v>2264.6999999999998</v>
      </c>
      <c r="F130" s="265">
        <f t="shared" ref="F130:H130" si="30">F119+F128</f>
        <v>2502.6000000000004</v>
      </c>
      <c r="G130" s="265">
        <f t="shared" si="30"/>
        <v>2675.3</v>
      </c>
      <c r="H130" s="265">
        <f t="shared" si="30"/>
        <v>2868.6235356494444</v>
      </c>
      <c r="I130" s="167"/>
      <c r="J130" s="166"/>
      <c r="K130" s="327">
        <f>K119+K128</f>
        <v>4939.5304809002246</v>
      </c>
      <c r="L130" s="265">
        <f>L119+L128</f>
        <v>5007.4952583216173</v>
      </c>
      <c r="M130" s="265">
        <f t="shared" ref="M130:Q130" si="31">M119+M128</f>
        <v>5186.4427499422163</v>
      </c>
      <c r="N130" s="265">
        <f t="shared" si="31"/>
        <v>5338.2391500826097</v>
      </c>
      <c r="O130" s="265">
        <f t="shared" si="31"/>
        <v>5513.2767763673428</v>
      </c>
      <c r="P130" s="265">
        <f t="shared" si="31"/>
        <v>5658.0078606721272</v>
      </c>
      <c r="Q130" s="265">
        <f t="shared" si="31"/>
        <v>5770.5612800422869</v>
      </c>
      <c r="S130" s="525"/>
      <c r="T130" s="525"/>
      <c r="U130" s="525"/>
      <c r="V130" s="525"/>
      <c r="W130" s="525"/>
      <c r="X130" s="525"/>
      <c r="Y130" s="525"/>
      <c r="Z130" s="525"/>
      <c r="AA130" s="525"/>
      <c r="AB130" s="525"/>
      <c r="AC130" s="525"/>
      <c r="AD130" s="245"/>
    </row>
    <row r="131" spans="2:30" ht="15.75" customHeight="1" outlineLevel="1" x14ac:dyDescent="0.25">
      <c r="C131" s="20"/>
      <c r="E131" s="121"/>
      <c r="F131" s="121"/>
      <c r="G131" s="151"/>
      <c r="H131" s="151"/>
      <c r="I131" s="167"/>
      <c r="J131" s="166"/>
      <c r="K131" s="152"/>
      <c r="L131" s="151"/>
      <c r="M131" s="151"/>
      <c r="N131" s="151"/>
      <c r="O131" s="151"/>
      <c r="P131" s="151"/>
      <c r="Q131" s="151"/>
      <c r="S131" s="525"/>
      <c r="T131" s="525"/>
      <c r="U131" s="525"/>
      <c r="V131" s="525"/>
      <c r="W131" s="525"/>
      <c r="X131" s="525"/>
      <c r="Y131" s="525"/>
      <c r="Z131" s="525"/>
      <c r="AA131" s="525"/>
      <c r="AB131" s="525"/>
      <c r="AC131" s="525"/>
      <c r="AD131" s="245"/>
    </row>
    <row r="132" spans="2:30" ht="15.75" customHeight="1" outlineLevel="1" x14ac:dyDescent="0.25">
      <c r="B132" s="64" t="str">
        <f>Fin_Projections!B149</f>
        <v>LIABILITIES &amp; EQUITY:</v>
      </c>
      <c r="C132" s="70"/>
      <c r="D132" s="146"/>
      <c r="E132" s="163"/>
      <c r="F132" s="163"/>
      <c r="G132" s="163"/>
      <c r="H132" s="163"/>
      <c r="I132" s="164"/>
      <c r="J132" s="163"/>
      <c r="K132" s="165"/>
      <c r="L132" s="163"/>
      <c r="M132" s="163"/>
      <c r="N132" s="163"/>
      <c r="O132" s="163"/>
      <c r="P132" s="163"/>
      <c r="Q132" s="163"/>
      <c r="S132" s="525"/>
      <c r="T132" s="525"/>
      <c r="U132" s="525"/>
      <c r="V132" s="525"/>
      <c r="W132" s="525"/>
      <c r="X132" s="525"/>
      <c r="Y132" s="525"/>
      <c r="Z132" s="525"/>
      <c r="AA132" s="525"/>
      <c r="AB132" s="525"/>
      <c r="AC132" s="525"/>
      <c r="AD132" s="245"/>
    </row>
    <row r="133" spans="2:30" ht="15.75" customHeight="1" outlineLevel="1" x14ac:dyDescent="0.25">
      <c r="C133" s="67" t="str">
        <f>Fin_Projections!$C$150</f>
        <v>Current Liabilities:</v>
      </c>
      <c r="E133" s="121"/>
      <c r="F133" s="121"/>
      <c r="G133" s="151"/>
      <c r="H133" s="151"/>
      <c r="I133" s="167"/>
      <c r="J133" s="166"/>
      <c r="K133" s="152"/>
      <c r="L133" s="151"/>
      <c r="M133" s="151"/>
      <c r="N133" s="151"/>
      <c r="O133" s="151"/>
      <c r="P133" s="151"/>
      <c r="Q133" s="151"/>
      <c r="S133" s="525"/>
      <c r="T133" s="525"/>
      <c r="U133" s="525"/>
      <c r="V133" s="525"/>
      <c r="W133" s="525"/>
      <c r="X133" s="525"/>
      <c r="Y133" s="525"/>
      <c r="Z133" s="525"/>
      <c r="AA133" s="525"/>
      <c r="AB133" s="525"/>
      <c r="AC133" s="525"/>
      <c r="AD133" s="245"/>
    </row>
    <row r="134" spans="2:30" ht="15.75" customHeight="1" outlineLevel="1" x14ac:dyDescent="0.25">
      <c r="C134" s="264" t="str">
        <f>Fin_Projections!$C$151</f>
        <v>Accounts Payable &amp; Other:</v>
      </c>
      <c r="D134" s="45" t="s">
        <v>168</v>
      </c>
      <c r="E134" s="352">
        <f>Fin_Projections!E151</f>
        <v>180.2</v>
      </c>
      <c r="F134" s="352">
        <f>Fin_Projections!F151</f>
        <v>152.6</v>
      </c>
      <c r="G134" s="352">
        <f>Fin_Projections!G151</f>
        <v>141.69999999999999</v>
      </c>
      <c r="H134" s="354">
        <f>G134+(Fin_Projections!H151-Fin_Projections!G151)*Pre_Txn_Stub</f>
        <v>155.17524944235879</v>
      </c>
      <c r="I134" s="375">
        <v>0</v>
      </c>
      <c r="J134" s="108">
        <v>0</v>
      </c>
      <c r="K134" s="361">
        <f t="shared" ref="K134" si="32">SUM(H134:J134)</f>
        <v>155.17524944235879</v>
      </c>
      <c r="L134" s="352">
        <f>Fin_Projections!H151</f>
        <v>159.58533107803984</v>
      </c>
      <c r="M134" s="352">
        <f>Fin_Projections!I151</f>
        <v>179.96789609512828</v>
      </c>
      <c r="N134" s="352">
        <f>Fin_Projections!J151</f>
        <v>187.79220438515395</v>
      </c>
      <c r="O134" s="352">
        <f>Fin_Projections!K151</f>
        <v>202.16578823169596</v>
      </c>
      <c r="P134" s="352">
        <f>Fin_Projections!L151</f>
        <v>215.81972531359261</v>
      </c>
      <c r="Q134" s="352">
        <f>Fin_Projections!M151</f>
        <v>229.9235062361947</v>
      </c>
      <c r="S134" s="525"/>
      <c r="T134" s="525"/>
      <c r="U134" s="525"/>
      <c r="V134" s="525"/>
      <c r="W134" s="525"/>
      <c r="X134" s="525"/>
      <c r="Y134" s="525"/>
      <c r="Z134" s="525"/>
      <c r="AA134" s="525"/>
      <c r="AB134" s="525"/>
      <c r="AC134" s="525"/>
      <c r="AD134" s="245"/>
    </row>
    <row r="135" spans="2:30" ht="15.75" customHeight="1" outlineLevel="1" x14ac:dyDescent="0.25">
      <c r="C135" s="68" t="str">
        <f>Fin_Projections!$C$152</f>
        <v>Total Current Liabilities:</v>
      </c>
      <c r="D135" s="48" t="s">
        <v>168</v>
      </c>
      <c r="E135" s="336">
        <f>SUM(E134)</f>
        <v>180.2</v>
      </c>
      <c r="F135" s="336">
        <f t="shared" ref="F135:G135" si="33">SUM(F134)</f>
        <v>152.6</v>
      </c>
      <c r="G135" s="336">
        <f t="shared" si="33"/>
        <v>141.69999999999999</v>
      </c>
      <c r="H135" s="336">
        <f>SUM(H134)</f>
        <v>155.17524944235879</v>
      </c>
      <c r="I135" s="167"/>
      <c r="J135" s="166"/>
      <c r="K135" s="339">
        <f>SUM(K134)</f>
        <v>155.17524944235879</v>
      </c>
      <c r="L135" s="33">
        <f>SUM(L134)</f>
        <v>159.58533107803984</v>
      </c>
      <c r="M135" s="33">
        <f t="shared" ref="M135:Q135" si="34">SUM(M134)</f>
        <v>179.96789609512828</v>
      </c>
      <c r="N135" s="33">
        <f t="shared" si="34"/>
        <v>187.79220438515395</v>
      </c>
      <c r="O135" s="33">
        <f t="shared" si="34"/>
        <v>202.16578823169596</v>
      </c>
      <c r="P135" s="33">
        <f t="shared" si="34"/>
        <v>215.81972531359261</v>
      </c>
      <c r="Q135" s="33">
        <f t="shared" si="34"/>
        <v>229.9235062361947</v>
      </c>
      <c r="S135" s="525"/>
      <c r="T135" s="525"/>
      <c r="U135" s="525"/>
      <c r="V135" s="525"/>
      <c r="W135" s="525"/>
      <c r="X135" s="525"/>
      <c r="Y135" s="525"/>
      <c r="Z135" s="525"/>
      <c r="AA135" s="525"/>
      <c r="AB135" s="525"/>
      <c r="AC135" s="525"/>
      <c r="AD135" s="245"/>
    </row>
    <row r="136" spans="2:30" ht="15.75" customHeight="1" outlineLevel="1" x14ac:dyDescent="0.25">
      <c r="C136" s="20"/>
      <c r="E136" s="121"/>
      <c r="F136" s="121"/>
      <c r="G136" s="151"/>
      <c r="H136" s="151"/>
      <c r="I136" s="167"/>
      <c r="J136" s="166"/>
      <c r="K136" s="152"/>
      <c r="L136" s="151"/>
      <c r="M136" s="151"/>
      <c r="N136" s="151"/>
      <c r="O136" s="151"/>
      <c r="P136" s="151"/>
      <c r="Q136" s="151"/>
      <c r="S136" s="525"/>
      <c r="T136" s="525"/>
      <c r="U136" s="525"/>
      <c r="V136" s="525"/>
      <c r="W136" s="525"/>
      <c r="X136" s="525"/>
      <c r="Y136" s="525"/>
      <c r="Z136" s="525"/>
      <c r="AA136" s="525"/>
      <c r="AB136" s="525"/>
      <c r="AC136" s="525"/>
      <c r="AD136" s="245"/>
    </row>
    <row r="137" spans="2:30" ht="15.75" customHeight="1" outlineLevel="1" x14ac:dyDescent="0.25">
      <c r="C137" s="67" t="str">
        <f>Fin_Projections!$C$154</f>
        <v>Long-Term Liabilities:</v>
      </c>
      <c r="E137" s="121"/>
      <c r="F137" s="121"/>
      <c r="G137" s="151"/>
      <c r="H137" s="151"/>
      <c r="I137" s="167"/>
      <c r="J137" s="166"/>
      <c r="K137" s="152"/>
      <c r="L137" s="151"/>
      <c r="M137" s="151"/>
      <c r="N137" s="151"/>
      <c r="O137" s="151"/>
      <c r="P137" s="151"/>
      <c r="Q137" s="151"/>
      <c r="S137" s="525"/>
      <c r="T137" s="525"/>
      <c r="U137" s="525"/>
      <c r="V137" s="525"/>
      <c r="W137" s="525"/>
      <c r="X137" s="525"/>
      <c r="Y137" s="525"/>
      <c r="Z137" s="525"/>
      <c r="AA137" s="525"/>
      <c r="AB137" s="525"/>
      <c r="AC137" s="525"/>
      <c r="AD137" s="245"/>
    </row>
    <row r="138" spans="2:30" ht="15.75" customHeight="1" outlineLevel="1" x14ac:dyDescent="0.25">
      <c r="C138" s="398" t="str">
        <f>Fin_Projections!$C$155</f>
        <v>Total Debt:</v>
      </c>
      <c r="D138" s="188" t="s">
        <v>168</v>
      </c>
      <c r="E138" s="346">
        <f>Fin_Projections!E155</f>
        <v>0</v>
      </c>
      <c r="F138" s="346">
        <f>Fin_Projections!F155</f>
        <v>91.7</v>
      </c>
      <c r="G138" s="346">
        <f>Fin_Projections!G155</f>
        <v>0</v>
      </c>
      <c r="H138" s="189">
        <f>G138+H179+H182</f>
        <v>0</v>
      </c>
      <c r="I138" s="386">
        <f>-H138</f>
        <v>0</v>
      </c>
      <c r="J138" s="231">
        <f>SUM(D37:D42)-K40</f>
        <v>1173.0390000000004</v>
      </c>
      <c r="K138" s="387">
        <f t="shared" ref="K138:K141" si="35">SUM(H138:J138)</f>
        <v>1173.0390000000004</v>
      </c>
      <c r="L138" s="189">
        <f>K138+L159+L160+L163+L179+L182+SUM(L189:L193)</f>
        <v>1200.9841612522814</v>
      </c>
      <c r="M138" s="189">
        <f t="shared" ref="M138:Q138" si="36">L138+M159+M160+M163+M179+M182+SUM(M189:M193)</f>
        <v>1180.6213833391009</v>
      </c>
      <c r="N138" s="189">
        <f t="shared" si="36"/>
        <v>1156.7271088473256</v>
      </c>
      <c r="O138" s="189">
        <f t="shared" si="36"/>
        <v>1131.047331171342</v>
      </c>
      <c r="P138" s="189">
        <f t="shared" si="36"/>
        <v>1058.8197237410373</v>
      </c>
      <c r="Q138" s="189">
        <f t="shared" si="36"/>
        <v>928.18541842063655</v>
      </c>
      <c r="S138" s="525"/>
      <c r="T138" s="525"/>
      <c r="U138" s="525"/>
      <c r="V138" s="525"/>
      <c r="W138" s="525"/>
      <c r="X138" s="525"/>
      <c r="Y138" s="525"/>
      <c r="Z138" s="525"/>
      <c r="AA138" s="525"/>
      <c r="AB138" s="525"/>
      <c r="AC138" s="525"/>
      <c r="AD138" s="245"/>
    </row>
    <row r="139" spans="2:30" ht="15.75" customHeight="1" outlineLevel="1" x14ac:dyDescent="0.25">
      <c r="C139" s="399" t="str">
        <f>Fin_Projections!$C$156</f>
        <v>Net Deferred Tax Liabilities:</v>
      </c>
      <c r="D139" s="191" t="s">
        <v>168</v>
      </c>
      <c r="E139" s="347">
        <f>Fin_Projections!E156</f>
        <v>56.6</v>
      </c>
      <c r="F139" s="347">
        <f>Fin_Projections!F156</f>
        <v>64.7</v>
      </c>
      <c r="G139" s="347">
        <f>Fin_Projections!G156</f>
        <v>98.2</v>
      </c>
      <c r="H139" s="389">
        <f>G139+H165</f>
        <v>103.83555833774689</v>
      </c>
      <c r="I139" s="390">
        <f>E74</f>
        <v>-103.83555833774689</v>
      </c>
      <c r="J139" s="234">
        <f>E75</f>
        <v>0</v>
      </c>
      <c r="K139" s="391">
        <f t="shared" si="35"/>
        <v>0</v>
      </c>
      <c r="L139" s="389">
        <f>K139+L165</f>
        <v>0</v>
      </c>
      <c r="M139" s="389">
        <f t="shared" ref="M139:Q139" si="37">L139+M165</f>
        <v>0</v>
      </c>
      <c r="N139" s="389">
        <f t="shared" si="37"/>
        <v>0</v>
      </c>
      <c r="O139" s="389">
        <f t="shared" si="37"/>
        <v>0</v>
      </c>
      <c r="P139" s="389">
        <f t="shared" si="37"/>
        <v>0</v>
      </c>
      <c r="Q139" s="389">
        <f t="shared" si="37"/>
        <v>0</v>
      </c>
      <c r="S139" s="525"/>
      <c r="T139" s="525"/>
      <c r="U139" s="525"/>
      <c r="V139" s="525"/>
      <c r="W139" s="525"/>
      <c r="X139" s="525"/>
      <c r="Y139" s="525"/>
      <c r="Z139" s="525"/>
      <c r="AA139" s="525"/>
      <c r="AB139" s="525"/>
      <c r="AC139" s="525"/>
      <c r="AD139" s="245"/>
    </row>
    <row r="140" spans="2:30" ht="15.75" customHeight="1" outlineLevel="1" x14ac:dyDescent="0.25">
      <c r="C140" s="260" t="str">
        <f>Fin_Projections!$C$157</f>
        <v>Finance/Op. Lease Liabilities:</v>
      </c>
      <c r="D140" s="113" t="s">
        <v>168</v>
      </c>
      <c r="E140" s="340">
        <f>Fin_Projections!E157</f>
        <v>170</v>
      </c>
      <c r="F140" s="340">
        <f>Fin_Projections!F157</f>
        <v>158.30000000000001</v>
      </c>
      <c r="G140" s="340">
        <f>Fin_Projections!G157</f>
        <v>248.4</v>
      </c>
      <c r="H140" s="109">
        <f>G140+H180+H181</f>
        <v>287.76643835616437</v>
      </c>
      <c r="I140" s="374">
        <v>0</v>
      </c>
      <c r="J140" s="82">
        <v>0</v>
      </c>
      <c r="K140" s="358">
        <f t="shared" si="35"/>
        <v>287.76643835616437</v>
      </c>
      <c r="L140" s="109">
        <f>K140+L180+L181</f>
        <v>300.64999999999998</v>
      </c>
      <c r="M140" s="109">
        <f t="shared" ref="M140:Q140" si="38">L140+M180+M181</f>
        <v>352.54999999999995</v>
      </c>
      <c r="N140" s="109">
        <f t="shared" si="38"/>
        <v>404.09999999999997</v>
      </c>
      <c r="O140" s="109">
        <f t="shared" si="38"/>
        <v>451.9</v>
      </c>
      <c r="P140" s="109">
        <f t="shared" si="38"/>
        <v>499.29999999999995</v>
      </c>
      <c r="Q140" s="109">
        <f t="shared" si="38"/>
        <v>546.29999999999995</v>
      </c>
      <c r="S140" s="525"/>
      <c r="T140" s="525"/>
      <c r="U140" s="525"/>
      <c r="V140" s="525"/>
      <c r="W140" s="525"/>
      <c r="X140" s="525"/>
      <c r="Y140" s="525"/>
      <c r="Z140" s="525"/>
      <c r="AA140" s="525"/>
      <c r="AB140" s="525"/>
      <c r="AC140" s="525"/>
      <c r="AD140" s="245"/>
    </row>
    <row r="141" spans="2:30" ht="15.75" customHeight="1" outlineLevel="1" x14ac:dyDescent="0.25">
      <c r="C141" s="119" t="str">
        <f>Fin_Projections!$C$158</f>
        <v>Other Long-Term Liabilities:</v>
      </c>
      <c r="D141" s="45" t="s">
        <v>168</v>
      </c>
      <c r="E141" s="306">
        <f>Fin_Projections!E158</f>
        <v>322.60000000000002</v>
      </c>
      <c r="F141" s="306">
        <f>Fin_Projections!F158</f>
        <v>322.10000000000002</v>
      </c>
      <c r="G141" s="306">
        <f>Fin_Projections!G158</f>
        <v>268</v>
      </c>
      <c r="H141" s="345">
        <f>G141+(Fin_Projections!H158-Fin_Projections!G158)*Pre_Txn_Stub</f>
        <v>296.58879310170147</v>
      </c>
      <c r="I141" s="375">
        <v>0</v>
      </c>
      <c r="J141" s="108">
        <v>0</v>
      </c>
      <c r="K141" s="357">
        <f t="shared" si="35"/>
        <v>296.58879310170147</v>
      </c>
      <c r="L141" s="306">
        <f>Fin_Projections!H158</f>
        <v>305.94512538953103</v>
      </c>
      <c r="M141" s="306">
        <f>Fin_Projections!I158</f>
        <v>345.02106280676082</v>
      </c>
      <c r="N141" s="306">
        <f>Fin_Projections!J158</f>
        <v>360.02124461988524</v>
      </c>
      <c r="O141" s="306">
        <f>Fin_Projections!K158</f>
        <v>387.57721033754115</v>
      </c>
      <c r="P141" s="306">
        <f>Fin_Projections!L158</f>
        <v>413.7535228116422</v>
      </c>
      <c r="Q141" s="306">
        <f>Fin_Projections!M158</f>
        <v>440.79224243382265</v>
      </c>
      <c r="S141" s="525"/>
      <c r="T141" s="525"/>
      <c r="U141" s="525"/>
      <c r="V141" s="525"/>
      <c r="W141" s="525"/>
      <c r="X141" s="525"/>
      <c r="Y141" s="525"/>
      <c r="Z141" s="525"/>
      <c r="AA141" s="525"/>
      <c r="AB141" s="525"/>
      <c r="AC141" s="525"/>
      <c r="AD141" s="245"/>
    </row>
    <row r="142" spans="2:30" ht="15.75" customHeight="1" outlineLevel="1" x14ac:dyDescent="0.25">
      <c r="C142" s="68" t="str">
        <f>Fin_Projections!$C$159</f>
        <v>Total Long-Term Liabilities:</v>
      </c>
      <c r="D142" s="48" t="s">
        <v>168</v>
      </c>
      <c r="E142" s="336">
        <f>SUM(E138:E141)</f>
        <v>549.20000000000005</v>
      </c>
      <c r="F142" s="336">
        <f t="shared" ref="F142:G142" si="39">SUM(F138:F141)</f>
        <v>636.80000000000007</v>
      </c>
      <c r="G142" s="336">
        <f t="shared" si="39"/>
        <v>614.6</v>
      </c>
      <c r="H142" s="336">
        <f>SUM(H138:H141)</f>
        <v>688.19078979561277</v>
      </c>
      <c r="I142" s="167"/>
      <c r="J142" s="166"/>
      <c r="K142" s="337">
        <f>SUM(K138:K141)</f>
        <v>1757.3942314578662</v>
      </c>
      <c r="L142" s="73">
        <f>SUM(L138:L141)</f>
        <v>1807.5792866418126</v>
      </c>
      <c r="M142" s="73">
        <f t="shared" ref="M142:Q142" si="40">SUM(M138:M141)</f>
        <v>1878.1924461458616</v>
      </c>
      <c r="N142" s="73">
        <f t="shared" si="40"/>
        <v>1920.8483534672107</v>
      </c>
      <c r="O142" s="73">
        <f t="shared" si="40"/>
        <v>1970.524541508883</v>
      </c>
      <c r="P142" s="73">
        <f t="shared" si="40"/>
        <v>1971.8732465526793</v>
      </c>
      <c r="Q142" s="73">
        <f t="shared" si="40"/>
        <v>1915.2776608544591</v>
      </c>
      <c r="S142" s="525"/>
      <c r="T142" s="525"/>
      <c r="U142" s="525"/>
      <c r="V142" s="525"/>
      <c r="W142" s="525"/>
      <c r="X142" s="525"/>
      <c r="Y142" s="525"/>
      <c r="Z142" s="525"/>
      <c r="AA142" s="525"/>
      <c r="AB142" s="525"/>
      <c r="AC142" s="525"/>
      <c r="AD142" s="245"/>
    </row>
    <row r="143" spans="2:30" ht="15.75" customHeight="1" outlineLevel="1" x14ac:dyDescent="0.25">
      <c r="C143" s="20"/>
      <c r="E143" s="121"/>
      <c r="F143" s="121"/>
      <c r="G143" s="151"/>
      <c r="H143" s="151"/>
      <c r="I143" s="167"/>
      <c r="J143" s="166"/>
      <c r="K143" s="152"/>
      <c r="L143" s="151"/>
      <c r="M143" s="151"/>
      <c r="N143" s="151"/>
      <c r="O143" s="151"/>
      <c r="P143" s="151"/>
      <c r="Q143" s="151"/>
      <c r="S143" s="525"/>
      <c r="T143" s="525"/>
      <c r="U143" s="525"/>
      <c r="V143" s="525"/>
      <c r="W143" s="525"/>
      <c r="X143" s="525"/>
      <c r="Y143" s="525"/>
      <c r="Z143" s="525"/>
      <c r="AA143" s="525"/>
      <c r="AB143" s="525"/>
      <c r="AC143" s="525"/>
      <c r="AD143" s="245"/>
    </row>
    <row r="144" spans="2:30" ht="15.75" customHeight="1" outlineLevel="1" x14ac:dyDescent="0.25">
      <c r="C144" s="71" t="str">
        <f>Fin_Projections!$C$161</f>
        <v>Common Shareholders' Equity:</v>
      </c>
      <c r="D144" s="113" t="s">
        <v>168</v>
      </c>
      <c r="E144" s="355">
        <f>Fin_Projections!E161</f>
        <v>1535.3</v>
      </c>
      <c r="F144" s="355">
        <f>Fin_Projections!F161</f>
        <v>1713.2000000000003</v>
      </c>
      <c r="G144" s="355">
        <f>Fin_Projections!G161</f>
        <v>1919.0000000000005</v>
      </c>
      <c r="H144" s="267">
        <f>G144+H153+H166+H177+H178</f>
        <v>2025.2574964114731</v>
      </c>
      <c r="I144" s="401">
        <f>E68</f>
        <v>-2025.2574964114731</v>
      </c>
      <c r="J144" s="139">
        <f>Investor_Equity-K39</f>
        <v>3026.9609999999989</v>
      </c>
      <c r="K144" s="360">
        <f t="shared" ref="K144" si="41">SUM(H144:J144)</f>
        <v>3026.9609999999989</v>
      </c>
      <c r="L144" s="267">
        <f>K144+L153+L166+L177+L178</f>
        <v>3040.3306406017646</v>
      </c>
      <c r="M144" s="267">
        <f t="shared" ref="M144:Q144" si="42">L144+M153+M166+M177+M178</f>
        <v>3128.2824077012265</v>
      </c>
      <c r="N144" s="267">
        <f t="shared" si="42"/>
        <v>3229.5985922302439</v>
      </c>
      <c r="O144" s="267">
        <f t="shared" si="42"/>
        <v>3340.5864466267635</v>
      </c>
      <c r="P144" s="267">
        <f t="shared" si="42"/>
        <v>3470.3148888058563</v>
      </c>
      <c r="Q144" s="267">
        <f t="shared" si="42"/>
        <v>3625.3601129516333</v>
      </c>
      <c r="S144" s="525"/>
      <c r="T144" s="525"/>
      <c r="U144" s="525"/>
      <c r="V144" s="525"/>
      <c r="W144" s="525"/>
      <c r="X144" s="525"/>
      <c r="Y144" s="525"/>
      <c r="Z144" s="525"/>
      <c r="AA144" s="525"/>
      <c r="AB144" s="525"/>
      <c r="AC144" s="525"/>
      <c r="AD144" s="245"/>
    </row>
    <row r="145" spans="2:30" ht="15.75" customHeight="1" outlineLevel="1" x14ac:dyDescent="0.25">
      <c r="C145" s="20"/>
      <c r="E145" s="121"/>
      <c r="F145" s="121"/>
      <c r="G145" s="121"/>
      <c r="H145" s="121"/>
      <c r="I145" s="167"/>
      <c r="J145" s="166"/>
      <c r="K145" s="152"/>
      <c r="L145" s="121"/>
      <c r="M145" s="121"/>
      <c r="N145" s="121"/>
      <c r="O145" s="121"/>
      <c r="P145" s="121"/>
      <c r="Q145" s="121"/>
      <c r="S145" s="525"/>
      <c r="T145" s="525"/>
      <c r="U145" s="525"/>
      <c r="V145" s="525"/>
      <c r="W145" s="525"/>
      <c r="X145" s="525"/>
      <c r="Y145" s="525"/>
      <c r="Z145" s="525"/>
      <c r="AA145" s="525"/>
      <c r="AB145" s="525"/>
      <c r="AC145" s="525"/>
      <c r="AD145" s="245"/>
    </row>
    <row r="146" spans="2:30" ht="15.75" customHeight="1" outlineLevel="1" x14ac:dyDescent="0.25">
      <c r="C146" s="67" t="str">
        <f>Fin_Projections!$C$163</f>
        <v>TOTAL LIABILITIES &amp; EQUITY:</v>
      </c>
      <c r="D146" s="48" t="s">
        <v>168</v>
      </c>
      <c r="E146" s="265">
        <f>E135+E142+E144</f>
        <v>2264.6999999999998</v>
      </c>
      <c r="F146" s="265">
        <f t="shared" ref="F146:G146" si="43">F135+F142+F144</f>
        <v>2502.6000000000004</v>
      </c>
      <c r="G146" s="265">
        <f t="shared" si="43"/>
        <v>2675.3</v>
      </c>
      <c r="H146" s="265">
        <f t="shared" ref="H146" si="44">H135+H142+H144</f>
        <v>2868.6235356494444</v>
      </c>
      <c r="I146" s="167"/>
      <c r="J146" s="166"/>
      <c r="K146" s="327">
        <f>K135+K142+K144</f>
        <v>4939.5304809002237</v>
      </c>
      <c r="L146" s="265">
        <f>L135+L142+L144</f>
        <v>5007.4952583216173</v>
      </c>
      <c r="M146" s="265">
        <f t="shared" ref="M146:Q146" si="45">M135+M142+M144</f>
        <v>5186.4427499422163</v>
      </c>
      <c r="N146" s="265">
        <f t="shared" si="45"/>
        <v>5338.2391500826088</v>
      </c>
      <c r="O146" s="265">
        <f t="shared" si="45"/>
        <v>5513.2767763673419</v>
      </c>
      <c r="P146" s="265">
        <f t="shared" si="45"/>
        <v>5658.0078606721281</v>
      </c>
      <c r="Q146" s="265">
        <f t="shared" si="45"/>
        <v>5770.5612800422869</v>
      </c>
      <c r="S146" s="525"/>
      <c r="T146" s="525"/>
      <c r="U146" s="525"/>
      <c r="V146" s="525"/>
      <c r="W146" s="525"/>
      <c r="X146" s="525"/>
      <c r="Y146" s="525"/>
      <c r="Z146" s="525"/>
      <c r="AA146" s="525"/>
      <c r="AB146" s="525"/>
      <c r="AC146" s="525"/>
      <c r="AD146" s="245"/>
    </row>
    <row r="147" spans="2:30" ht="15.75" customHeight="1" outlineLevel="1" x14ac:dyDescent="0.25">
      <c r="C147" s="20"/>
      <c r="E147" s="121"/>
      <c r="F147" s="121"/>
      <c r="G147" s="121"/>
      <c r="H147" s="121"/>
      <c r="I147" s="167"/>
      <c r="J147" s="166"/>
      <c r="K147" s="152"/>
      <c r="L147" s="121"/>
      <c r="M147" s="121"/>
      <c r="N147" s="121"/>
      <c r="O147" s="121"/>
      <c r="P147" s="121"/>
      <c r="Q147" s="121"/>
      <c r="S147" s="525"/>
      <c r="T147" s="525"/>
      <c r="U147" s="525"/>
      <c r="V147" s="525"/>
      <c r="W147" s="525"/>
      <c r="X147" s="525"/>
      <c r="Y147" s="525"/>
      <c r="Z147" s="525"/>
      <c r="AA147" s="525"/>
      <c r="AB147" s="525"/>
      <c r="AC147" s="525"/>
      <c r="AD147" s="245"/>
    </row>
    <row r="148" spans="2:30" ht="15.75" customHeight="1" outlineLevel="1" x14ac:dyDescent="0.25">
      <c r="C148" s="157" t="str">
        <f>Fin_Projections!$C$165</f>
        <v>Balance Check:</v>
      </c>
      <c r="E148" s="74">
        <f>E130-E146</f>
        <v>0</v>
      </c>
      <c r="F148" s="74">
        <f t="shared" ref="F148:G148" si="46">F130-F146</f>
        <v>0</v>
      </c>
      <c r="G148" s="74">
        <f t="shared" si="46"/>
        <v>0</v>
      </c>
      <c r="H148" s="74">
        <f t="shared" ref="H148" si="47">H130-H146</f>
        <v>0</v>
      </c>
      <c r="I148" s="167"/>
      <c r="J148" s="166"/>
      <c r="K148" s="217">
        <f>K130-K146</f>
        <v>0</v>
      </c>
      <c r="L148" s="74">
        <f>L130-L146</f>
        <v>0</v>
      </c>
      <c r="M148" s="74">
        <f t="shared" ref="M148:Q148" si="48">M130-M146</f>
        <v>0</v>
      </c>
      <c r="N148" s="74">
        <f t="shared" si="48"/>
        <v>0</v>
      </c>
      <c r="O148" s="74">
        <f t="shared" si="48"/>
        <v>0</v>
      </c>
      <c r="P148" s="74">
        <f t="shared" si="48"/>
        <v>0</v>
      </c>
      <c r="Q148" s="74">
        <f t="shared" si="48"/>
        <v>0</v>
      </c>
      <c r="S148" s="525"/>
      <c r="T148" s="525"/>
      <c r="U148" s="525"/>
      <c r="V148" s="525"/>
      <c r="W148" s="525"/>
      <c r="X148" s="525"/>
      <c r="Y148" s="525"/>
      <c r="Z148" s="525"/>
      <c r="AA148" s="525"/>
      <c r="AB148" s="525"/>
      <c r="AC148" s="525"/>
      <c r="AD148" s="245"/>
    </row>
    <row r="149" spans="2:30" ht="15.75" customHeight="1" x14ac:dyDescent="0.25">
      <c r="C149" s="20"/>
      <c r="E149" s="121"/>
      <c r="F149" s="151"/>
      <c r="G149" s="151"/>
      <c r="H149" s="151"/>
      <c r="I149" s="151"/>
      <c r="J149" s="151"/>
      <c r="K149" s="151"/>
      <c r="L149" s="121"/>
      <c r="M149" s="121"/>
      <c r="N149" s="121"/>
      <c r="O149" s="121"/>
      <c r="P149" s="121"/>
      <c r="Q149" s="121"/>
      <c r="S149" s="525"/>
      <c r="T149" s="525"/>
      <c r="U149" s="525"/>
      <c r="V149" s="525"/>
      <c r="W149" s="525"/>
      <c r="X149" s="525"/>
      <c r="Y149" s="525"/>
      <c r="Z149" s="525"/>
      <c r="AA149" s="525"/>
      <c r="AB149" s="525"/>
      <c r="AC149" s="525"/>
    </row>
    <row r="150" spans="2:30" ht="15.75" customHeight="1" x14ac:dyDescent="0.25">
      <c r="B150" s="25"/>
      <c r="C150" s="26"/>
      <c r="D150" s="14"/>
      <c r="E150" s="15" t="str">
        <f>$E$82</f>
        <v>Historical:</v>
      </c>
      <c r="F150" s="16"/>
      <c r="G150" s="16"/>
      <c r="H150" s="321" t="str">
        <f>$H$82</f>
        <v>Stub:</v>
      </c>
      <c r="I150" s="17" t="str">
        <f>$I$82</f>
        <v>Transaction Adjustments:</v>
      </c>
      <c r="J150" s="16"/>
      <c r="K150" s="16"/>
      <c r="L150" s="320" t="str">
        <f>$L$82</f>
        <v>Stub:</v>
      </c>
      <c r="M150" s="15" t="str">
        <f>$M$82</f>
        <v>Post-Transaction - Projected:</v>
      </c>
      <c r="N150" s="16"/>
      <c r="O150" s="16"/>
      <c r="P150" s="16"/>
      <c r="Q150" s="16"/>
      <c r="S150" s="525"/>
      <c r="T150" s="525"/>
      <c r="U150" s="525"/>
      <c r="V150" s="525"/>
      <c r="W150" s="525"/>
      <c r="X150" s="525"/>
      <c r="Y150" s="525"/>
      <c r="Z150" s="525"/>
      <c r="AA150" s="525"/>
      <c r="AB150" s="525"/>
      <c r="AC150" s="525"/>
    </row>
    <row r="151" spans="2:30" ht="15.75" customHeight="1" x14ac:dyDescent="0.25">
      <c r="B151" s="4" t="s">
        <v>22</v>
      </c>
      <c r="C151" s="5"/>
      <c r="D151" s="35" t="str">
        <f>$D$5</f>
        <v>Units:</v>
      </c>
      <c r="E151" s="1">
        <f>$E$83</f>
        <v>43190</v>
      </c>
      <c r="F151" s="1">
        <f>$F$83</f>
        <v>43555</v>
      </c>
      <c r="G151" s="2">
        <f>$G$83</f>
        <v>43921</v>
      </c>
      <c r="H151" s="319">
        <f>$H$83</f>
        <v>44196</v>
      </c>
      <c r="I151" s="1" t="str">
        <f>$I$83</f>
        <v>Debit</v>
      </c>
      <c r="J151" s="1" t="str">
        <f>$J$83</f>
        <v>Credit</v>
      </c>
      <c r="K151" s="319">
        <f>$K$83</f>
        <v>44196</v>
      </c>
      <c r="L151" s="319">
        <f>$L$83</f>
        <v>44286</v>
      </c>
      <c r="M151" s="1">
        <f>$M$83</f>
        <v>44651</v>
      </c>
      <c r="N151" s="1">
        <f>$N$83</f>
        <v>45016</v>
      </c>
      <c r="O151" s="1">
        <f>$O$83</f>
        <v>45382</v>
      </c>
      <c r="P151" s="1">
        <f>$P$83</f>
        <v>45747</v>
      </c>
      <c r="Q151" s="324">
        <f>$Q$83</f>
        <v>46112</v>
      </c>
      <c r="S151" s="525"/>
      <c r="T151" s="525"/>
      <c r="U151" s="525"/>
      <c r="V151" s="525"/>
      <c r="W151" s="525"/>
      <c r="X151" s="525"/>
      <c r="Y151" s="525"/>
      <c r="Z151" s="525"/>
      <c r="AA151" s="525"/>
      <c r="AB151" s="525"/>
      <c r="AC151" s="525"/>
    </row>
    <row r="152" spans="2:30" ht="15.75" customHeight="1" outlineLevel="1" x14ac:dyDescent="0.25">
      <c r="B152" s="9" t="str">
        <f>Fin_Projections!B169</f>
        <v>CASH FLOWS FROM OPERATING ACTIVITIES:</v>
      </c>
      <c r="C152" s="64"/>
      <c r="D152" s="9"/>
      <c r="E152" s="9" t="str">
        <f>Fin_Projections!E169</f>
        <v/>
      </c>
      <c r="F152" s="9" t="str">
        <f>Fin_Projections!F169</f>
        <v/>
      </c>
      <c r="G152" s="9" t="str">
        <f>Fin_Projections!G169</f>
        <v/>
      </c>
      <c r="H152" s="9" t="str">
        <f>Fin_Projections!H169</f>
        <v/>
      </c>
      <c r="I152" s="362"/>
      <c r="J152" s="363"/>
      <c r="K152" s="364"/>
      <c r="L152" s="376"/>
      <c r="M152" s="363"/>
      <c r="N152" s="363"/>
      <c r="O152" s="363"/>
      <c r="P152" s="363"/>
      <c r="Q152" s="363"/>
      <c r="S152" s="525"/>
      <c r="T152" s="525"/>
      <c r="U152" s="525"/>
      <c r="V152" s="525"/>
      <c r="W152" s="525"/>
      <c r="X152" s="525"/>
      <c r="Y152" s="525"/>
      <c r="Z152" s="525"/>
      <c r="AA152" s="525"/>
      <c r="AB152" s="525"/>
      <c r="AC152" s="525"/>
    </row>
    <row r="153" spans="2:30" ht="15.75" customHeight="1" outlineLevel="1" x14ac:dyDescent="0.25">
      <c r="C153" s="3" t="str">
        <f>Fin_Projections!C170</f>
        <v>Net Income to Parent:</v>
      </c>
      <c r="D153" s="48" t="s">
        <v>168</v>
      </c>
      <c r="E153" s="335">
        <f>Fin_Projections!E170</f>
        <v>39.900000000000055</v>
      </c>
      <c r="F153" s="335">
        <f>Fin_Projections!F170</f>
        <v>54.000000000000071</v>
      </c>
      <c r="G153" s="335">
        <f>Fin_Projections!G170</f>
        <v>83.800000000000082</v>
      </c>
      <c r="H153" s="276">
        <f>Fin_Projections!H170*Pre_Txn_Stub</f>
        <v>91.404455542171021</v>
      </c>
      <c r="I153" s="77"/>
      <c r="J153" s="66"/>
      <c r="K153" s="78"/>
      <c r="L153" s="276">
        <f>L110</f>
        <v>8.5086454081761769</v>
      </c>
      <c r="M153" s="276">
        <f t="shared" ref="M153:Q153" si="49">M110</f>
        <v>65.444780061662144</v>
      </c>
      <c r="N153" s="276">
        <f t="shared" si="49"/>
        <v>77.638617324220888</v>
      </c>
      <c r="O153" s="276">
        <f t="shared" si="49"/>
        <v>85.272767963773191</v>
      </c>
      <c r="P153" s="276">
        <f t="shared" si="49"/>
        <v>102.13930135695597</v>
      </c>
      <c r="Q153" s="276">
        <f t="shared" si="49"/>
        <v>125.51121585645967</v>
      </c>
      <c r="S153" s="525"/>
      <c r="T153" s="525"/>
      <c r="U153" s="525"/>
      <c r="V153" s="525"/>
      <c r="W153" s="525"/>
      <c r="X153" s="525"/>
      <c r="Y153" s="525"/>
      <c r="Z153" s="525"/>
      <c r="AA153" s="525"/>
      <c r="AB153" s="525"/>
      <c r="AC153" s="525"/>
    </row>
    <row r="154" spans="2:30" ht="15.75" customHeight="1" outlineLevel="1" x14ac:dyDescent="0.25">
      <c r="C154" s="264" t="str">
        <f>Fin_Projections!C171</f>
        <v>(-) Net Income from Joint Ventures:</v>
      </c>
      <c r="D154" s="48" t="s">
        <v>168</v>
      </c>
      <c r="E154" s="306">
        <f>Fin_Projections!E171</f>
        <v>-8</v>
      </c>
      <c r="F154" s="306">
        <f>Fin_Projections!F171</f>
        <v>-12.4</v>
      </c>
      <c r="G154" s="306">
        <f>Fin_Projections!G171</f>
        <v>-14.8</v>
      </c>
      <c r="H154" s="47">
        <f>Fin_Projections!H171*Pre_Txn_Stub</f>
        <v>-11.320205479452055</v>
      </c>
      <c r="I154" s="77"/>
      <c r="J154" s="66"/>
      <c r="K154" s="78"/>
      <c r="L154" s="47">
        <f>-L109</f>
        <v>-3.7047945205479449</v>
      </c>
      <c r="M154" s="47">
        <f t="shared" ref="M154:Q154" si="50">-M109</f>
        <v>-15.791293830372712</v>
      </c>
      <c r="N154" s="47">
        <f t="shared" si="50"/>
        <v>-16.156265768448275</v>
      </c>
      <c r="O154" s="47">
        <f t="shared" si="50"/>
        <v>-16.034211953428262</v>
      </c>
      <c r="P154" s="47">
        <f t="shared" si="50"/>
        <v>-15.357734312565544</v>
      </c>
      <c r="Q154" s="47">
        <f t="shared" si="50"/>
        <v>-16.903759064949437</v>
      </c>
      <c r="S154" s="525"/>
      <c r="T154" s="525"/>
      <c r="U154" s="525"/>
      <c r="V154" s="525"/>
      <c r="W154" s="525"/>
      <c r="X154" s="525"/>
      <c r="Y154" s="525"/>
      <c r="Z154" s="525"/>
      <c r="AA154" s="525"/>
      <c r="AB154" s="525"/>
      <c r="AC154" s="525"/>
    </row>
    <row r="155" spans="2:30" ht="15.75" customHeight="1" outlineLevel="1" x14ac:dyDescent="0.25">
      <c r="C155" s="264" t="str">
        <f>Fin_Projections!C172</f>
        <v>(+) Dividends Received from Joint Ventures::</v>
      </c>
      <c r="D155" s="48" t="s">
        <v>168</v>
      </c>
      <c r="E155" s="306">
        <f>Fin_Projections!E172</f>
        <v>2.5</v>
      </c>
      <c r="F155" s="306">
        <f>Fin_Projections!F172</f>
        <v>3.5</v>
      </c>
      <c r="G155" s="306">
        <f>Fin_Projections!G172</f>
        <v>5.8</v>
      </c>
      <c r="H155" s="47">
        <f>Fin_Projections!H172*Pre_Txn_Stub</f>
        <v>3.7230267476104029</v>
      </c>
      <c r="I155" s="77"/>
      <c r="J155" s="66"/>
      <c r="K155" s="78"/>
      <c r="L155" s="47">
        <f>Fin_Projections!H172*Post_Txn_Stub</f>
        <v>1.2184451173997681</v>
      </c>
      <c r="M155" s="306">
        <f>Fin_Projections!I172</f>
        <v>5.1934931231211623</v>
      </c>
      <c r="N155" s="306">
        <f>Fin_Projections!J172</f>
        <v>5.313526305385297</v>
      </c>
      <c r="O155" s="306">
        <f>Fin_Projections!K172</f>
        <v>5.273384841628987</v>
      </c>
      <c r="P155" s="306">
        <f>Fin_Projections!L172</f>
        <v>5.0509026300062532</v>
      </c>
      <c r="Q155" s="306">
        <f>Fin_Projections!M172</f>
        <v>5.55936438152135</v>
      </c>
      <c r="S155" s="525"/>
      <c r="T155" s="525"/>
      <c r="U155" s="525"/>
      <c r="V155" s="525"/>
      <c r="W155" s="525"/>
      <c r="X155" s="525"/>
      <c r="Y155" s="525"/>
      <c r="Z155" s="525"/>
      <c r="AA155" s="525"/>
      <c r="AB155" s="525"/>
      <c r="AC155" s="525"/>
    </row>
    <row r="156" spans="2:30" ht="15.75" customHeight="1" outlineLevel="1" x14ac:dyDescent="0.25">
      <c r="C156" s="182" t="str">
        <f>Fin_Projections!C173</f>
        <v>(+) Depreciation of Owned PP&amp;E:</v>
      </c>
      <c r="D156" s="48" t="s">
        <v>168</v>
      </c>
      <c r="E156" s="306">
        <f>Fin_Projections!E173</f>
        <v>52.39912328767123</v>
      </c>
      <c r="F156" s="306">
        <f>Fin_Projections!F173</f>
        <v>48.579399141630901</v>
      </c>
      <c r="G156" s="306">
        <f>Fin_Projections!G173</f>
        <v>47.899328859060404</v>
      </c>
      <c r="H156" s="47">
        <f>Fin_Projections!H173*Pre_Txn_Stub</f>
        <v>37.734018264840188</v>
      </c>
      <c r="I156" s="77"/>
      <c r="J156" s="66"/>
      <c r="K156" s="78"/>
      <c r="L156" s="47">
        <f>-L94</f>
        <v>12.349315068493151</v>
      </c>
      <c r="M156" s="47">
        <f t="shared" ref="M156:Q156" si="51">-M94</f>
        <v>53.5</v>
      </c>
      <c r="N156" s="47">
        <f t="shared" si="51"/>
        <v>58.25</v>
      </c>
      <c r="O156" s="47">
        <f t="shared" si="51"/>
        <v>66.400000000000006</v>
      </c>
      <c r="P156" s="47">
        <f t="shared" si="51"/>
        <v>69.866666666666674</v>
      </c>
      <c r="Q156" s="47">
        <f t="shared" si="51"/>
        <v>72</v>
      </c>
    </row>
    <row r="157" spans="2:30" ht="15.75" customHeight="1" outlineLevel="1" x14ac:dyDescent="0.25">
      <c r="C157" s="182" t="str">
        <f>Fin_Projections!C174</f>
        <v>(+) Amortisation of Existing Intangible Assets:</v>
      </c>
      <c r="D157" s="48" t="s">
        <v>168</v>
      </c>
      <c r="E157" s="306">
        <f>Fin_Projections!E174</f>
        <v>3</v>
      </c>
      <c r="F157" s="306">
        <f>Fin_Projections!F174</f>
        <v>4.5</v>
      </c>
      <c r="G157" s="306">
        <f>Fin_Projections!G174</f>
        <v>4.0999999999999996</v>
      </c>
      <c r="H157" s="47">
        <f>Fin_Projections!H174*Pre_Txn_Stub</f>
        <v>3.0890410958904106</v>
      </c>
      <c r="I157" s="77"/>
      <c r="J157" s="66"/>
      <c r="K157" s="78"/>
      <c r="L157" s="47">
        <f t="shared" ref="L157:Q158" si="52">-L95</f>
        <v>1.010958904109589</v>
      </c>
      <c r="M157" s="47">
        <f t="shared" si="52"/>
        <v>4.0999999999999996</v>
      </c>
      <c r="N157" s="47">
        <f t="shared" si="52"/>
        <v>4.0999999999999996</v>
      </c>
      <c r="O157" s="47">
        <f t="shared" si="52"/>
        <v>4.0999999999999996</v>
      </c>
      <c r="P157" s="47">
        <f t="shared" si="52"/>
        <v>4.0999999999999996</v>
      </c>
      <c r="Q157" s="47">
        <f t="shared" si="52"/>
        <v>4.0999999999999996</v>
      </c>
    </row>
    <row r="158" spans="2:30" ht="15.75" customHeight="1" outlineLevel="1" x14ac:dyDescent="0.25">
      <c r="C158" s="264" t="str">
        <f>Fin_Projections!C175</f>
        <v>(+) Lease Depreciation:</v>
      </c>
      <c r="D158" s="48" t="s">
        <v>168</v>
      </c>
      <c r="E158" s="306">
        <f>Fin_Projections!E175</f>
        <v>16.200876712328768</v>
      </c>
      <c r="F158" s="306">
        <f>Fin_Projections!F175</f>
        <v>24.920600858369099</v>
      </c>
      <c r="G158" s="306">
        <f>Fin_Projections!G175</f>
        <v>30.100671140939596</v>
      </c>
      <c r="H158" s="47">
        <f>Fin_Projections!H175*Pre_Txn_Stub</f>
        <v>17.140410958904113</v>
      </c>
      <c r="I158" s="77"/>
      <c r="J158" s="66"/>
      <c r="K158" s="78"/>
      <c r="L158" s="47">
        <f t="shared" si="52"/>
        <v>5.6095890410958908</v>
      </c>
      <c r="M158" s="47">
        <f t="shared" si="52"/>
        <v>23.1</v>
      </c>
      <c r="N158" s="47">
        <f t="shared" si="52"/>
        <v>23.450000000000003</v>
      </c>
      <c r="O158" s="47">
        <f t="shared" si="52"/>
        <v>27.2</v>
      </c>
      <c r="P158" s="47">
        <f t="shared" si="52"/>
        <v>27.6</v>
      </c>
      <c r="Q158" s="47">
        <f t="shared" si="52"/>
        <v>28</v>
      </c>
    </row>
    <row r="159" spans="2:30" ht="15.75" customHeight="1" outlineLevel="1" x14ac:dyDescent="0.25">
      <c r="C159" s="403" t="s">
        <v>329</v>
      </c>
      <c r="D159" s="188" t="s">
        <v>168</v>
      </c>
      <c r="E159" s="346"/>
      <c r="F159" s="346"/>
      <c r="G159" s="346"/>
      <c r="H159" s="189"/>
      <c r="I159" s="404"/>
      <c r="J159" s="405"/>
      <c r="K159" s="406"/>
      <c r="L159" s="189">
        <f>-L100</f>
        <v>0.75461398702235083</v>
      </c>
      <c r="M159" s="189">
        <f t="shared" ref="M159:Q159" si="53">-M100</f>
        <v>3.0603789473684229</v>
      </c>
      <c r="N159" s="189">
        <f t="shared" si="53"/>
        <v>3.0603789473684229</v>
      </c>
      <c r="O159" s="189">
        <f t="shared" si="53"/>
        <v>3.0603789473684229</v>
      </c>
      <c r="P159" s="189">
        <f t="shared" si="53"/>
        <v>3.0603789473684229</v>
      </c>
      <c r="Q159" s="189">
        <f t="shared" si="53"/>
        <v>3.0603789473684229</v>
      </c>
    </row>
    <row r="160" spans="2:30" ht="15.75" customHeight="1" outlineLevel="1" x14ac:dyDescent="0.25">
      <c r="C160" s="330" t="s">
        <v>330</v>
      </c>
      <c r="D160" s="177" t="s">
        <v>168</v>
      </c>
      <c r="E160" s="356"/>
      <c r="F160" s="356"/>
      <c r="G160" s="356"/>
      <c r="H160" s="190"/>
      <c r="I160" s="371"/>
      <c r="J160" s="372"/>
      <c r="K160" s="373"/>
      <c r="L160" s="190">
        <f t="shared" ref="L160:Q162" si="54">-L101</f>
        <v>0.3484849315068495</v>
      </c>
      <c r="M160" s="190">
        <f t="shared" si="54"/>
        <v>1.4133000000000009</v>
      </c>
      <c r="N160" s="190">
        <f t="shared" si="54"/>
        <v>1.4133000000000009</v>
      </c>
      <c r="O160" s="190">
        <f t="shared" si="54"/>
        <v>1.4133000000000009</v>
      </c>
      <c r="P160" s="190">
        <f t="shared" si="54"/>
        <v>1.4133000000000009</v>
      </c>
      <c r="Q160" s="190">
        <f t="shared" si="54"/>
        <v>1.4133000000000009</v>
      </c>
    </row>
    <row r="161" spans="2:17" ht="15.75" customHeight="1" outlineLevel="1" x14ac:dyDescent="0.25">
      <c r="C161" s="330" t="s">
        <v>331</v>
      </c>
      <c r="D161" s="177" t="s">
        <v>168</v>
      </c>
      <c r="E161" s="356"/>
      <c r="F161" s="356"/>
      <c r="G161" s="356"/>
      <c r="H161" s="190"/>
      <c r="I161" s="371"/>
      <c r="J161" s="372"/>
      <c r="K161" s="373"/>
      <c r="L161" s="190">
        <f t="shared" si="54"/>
        <v>3.2545405531508802</v>
      </c>
      <c r="M161" s="190">
        <f t="shared" si="54"/>
        <v>13.198970021111904</v>
      </c>
      <c r="N161" s="190">
        <f t="shared" si="54"/>
        <v>13.198970021111904</v>
      </c>
      <c r="O161" s="190">
        <f t="shared" si="54"/>
        <v>13.198970021111904</v>
      </c>
      <c r="P161" s="190">
        <f t="shared" si="54"/>
        <v>13.198970021111904</v>
      </c>
      <c r="Q161" s="190">
        <f t="shared" si="54"/>
        <v>13.198970021111904</v>
      </c>
    </row>
    <row r="162" spans="2:17" ht="15.75" customHeight="1" outlineLevel="1" x14ac:dyDescent="0.25">
      <c r="C162" s="330" t="s">
        <v>99</v>
      </c>
      <c r="D162" s="177" t="s">
        <v>168</v>
      </c>
      <c r="E162" s="356"/>
      <c r="F162" s="356"/>
      <c r="G162" s="356"/>
      <c r="H162" s="190"/>
      <c r="I162" s="371"/>
      <c r="J162" s="372"/>
      <c r="K162" s="373"/>
      <c r="L162" s="190">
        <f t="shared" si="54"/>
        <v>0.66202166590131706</v>
      </c>
      <c r="M162" s="190">
        <f t="shared" si="54"/>
        <v>2.6848656450442303</v>
      </c>
      <c r="N162" s="190">
        <f t="shared" si="54"/>
        <v>2.6848656450442303</v>
      </c>
      <c r="O162" s="190">
        <f t="shared" si="54"/>
        <v>2.6848656450442303</v>
      </c>
      <c r="P162" s="190">
        <f t="shared" si="54"/>
        <v>2.6848656450442303</v>
      </c>
      <c r="Q162" s="190">
        <f t="shared" si="54"/>
        <v>2.6848656450442303</v>
      </c>
    </row>
    <row r="163" spans="2:17" ht="15.75" customHeight="1" outlineLevel="1" x14ac:dyDescent="0.25">
      <c r="C163" s="333" t="s">
        <v>28</v>
      </c>
      <c r="D163" s="191" t="s">
        <v>168</v>
      </c>
      <c r="E163" s="347"/>
      <c r="F163" s="347"/>
      <c r="G163" s="347"/>
      <c r="H163" s="389"/>
      <c r="I163" s="407"/>
      <c r="J163" s="408"/>
      <c r="K163" s="409"/>
      <c r="L163" s="389">
        <f>L223</f>
        <v>4.4805205479452077</v>
      </c>
      <c r="M163" s="389">
        <f t="shared" ref="M163:Q163" si="55">M223</f>
        <v>18.434852876712338</v>
      </c>
      <c r="N163" s="389">
        <f t="shared" si="55"/>
        <v>19.522396906849323</v>
      </c>
      <c r="O163" s="389">
        <f t="shared" si="55"/>
        <v>20.682011105671243</v>
      </c>
      <c r="P163" s="389">
        <f t="shared" si="55"/>
        <v>21.918659226717544</v>
      </c>
      <c r="Q163" s="389">
        <f t="shared" si="55"/>
        <v>23.237650863110076</v>
      </c>
    </row>
    <row r="164" spans="2:17" ht="15.75" customHeight="1" outlineLevel="1" x14ac:dyDescent="0.25">
      <c r="C164" s="187" t="str">
        <f>Fin_Projections!C176</f>
        <v>(+) Impairment of Goodwill:</v>
      </c>
      <c r="D164" s="113" t="s">
        <v>168</v>
      </c>
      <c r="E164" s="340">
        <f>Fin_Projections!E176</f>
        <v>0</v>
      </c>
      <c r="F164" s="340">
        <f>Fin_Projections!F176</f>
        <v>0</v>
      </c>
      <c r="G164" s="340">
        <f>Fin_Projections!G176</f>
        <v>0</v>
      </c>
      <c r="H164" s="109">
        <f>Fin_Projections!H176*Pre_Txn_Stub</f>
        <v>0</v>
      </c>
      <c r="I164" s="77"/>
      <c r="J164" s="66"/>
      <c r="K164" s="78"/>
      <c r="L164" s="109">
        <f>-L105</f>
        <v>0</v>
      </c>
      <c r="M164" s="109">
        <f t="shared" ref="M164:Q164" si="56">-M105</f>
        <v>0</v>
      </c>
      <c r="N164" s="109">
        <f t="shared" si="56"/>
        <v>0</v>
      </c>
      <c r="O164" s="109">
        <f t="shared" si="56"/>
        <v>0</v>
      </c>
      <c r="P164" s="109">
        <f t="shared" si="56"/>
        <v>0</v>
      </c>
      <c r="Q164" s="109">
        <f t="shared" si="56"/>
        <v>0</v>
      </c>
    </row>
    <row r="165" spans="2:17" ht="15.75" customHeight="1" outlineLevel="1" x14ac:dyDescent="0.25">
      <c r="C165" s="192" t="str">
        <f>Fin_Projections!C177</f>
        <v>(+/-) Deferred Taxes:</v>
      </c>
      <c r="D165" s="193" t="s">
        <v>168</v>
      </c>
      <c r="E165" s="381">
        <f>Fin_Projections!E177</f>
        <v>14.600000000000001</v>
      </c>
      <c r="F165" s="381">
        <f>Fin_Projections!F177</f>
        <v>8.1000000000000014</v>
      </c>
      <c r="G165" s="381">
        <f>Fin_Projections!G177</f>
        <v>33.5</v>
      </c>
      <c r="H165" s="382">
        <f>Fin_Projections!H177*Pre_Txn_Stub</f>
        <v>5.6355583377468896</v>
      </c>
      <c r="I165" s="410"/>
      <c r="J165" s="411"/>
      <c r="K165" s="412"/>
      <c r="L165" s="382"/>
      <c r="M165" s="382"/>
      <c r="N165" s="382"/>
      <c r="O165" s="382"/>
      <c r="P165" s="382"/>
      <c r="Q165" s="382"/>
    </row>
    <row r="166" spans="2:17" ht="15.75" customHeight="1" outlineLevel="1" x14ac:dyDescent="0.25">
      <c r="C166" s="208" t="str">
        <f>Fin_Projections!C178</f>
        <v>(+/-) Other Operational Items:</v>
      </c>
      <c r="D166" s="48" t="s">
        <v>168</v>
      </c>
      <c r="E166" s="306">
        <f>Fin_Projections!E178</f>
        <v>15.3</v>
      </c>
      <c r="F166" s="306">
        <f>Fin_Projections!F178</f>
        <v>17.8</v>
      </c>
      <c r="G166" s="306">
        <f>Fin_Projections!G178</f>
        <v>21.2</v>
      </c>
      <c r="H166" s="47">
        <f>Fin_Projections!H178*Pre_Txn_Stub</f>
        <v>14.853040869301552</v>
      </c>
      <c r="I166" s="77"/>
      <c r="J166" s="66"/>
      <c r="K166" s="78"/>
      <c r="L166" s="47">
        <f>Fin_Projections!H178*Post_Txn_Stub</f>
        <v>4.8609951935895985</v>
      </c>
      <c r="M166" s="306">
        <f>Fin_Projections!I178</f>
        <v>22.506987037799785</v>
      </c>
      <c r="N166" s="306">
        <f>Fin_Projections!J178</f>
        <v>23.677567204796617</v>
      </c>
      <c r="O166" s="306">
        <f>Fin_Projections!K178</f>
        <v>25.71508643274645</v>
      </c>
      <c r="P166" s="306">
        <f>Fin_Projections!L178</f>
        <v>27.589140822136944</v>
      </c>
      <c r="Q166" s="306">
        <f>Fin_Projections!M178</f>
        <v>29.534008289317356</v>
      </c>
    </row>
    <row r="167" spans="2:17" ht="15.75" customHeight="1" outlineLevel="1" x14ac:dyDescent="0.25">
      <c r="C167" s="182" t="str">
        <f>Fin_Projections!C179</f>
        <v>(+/-) Change in Working Capital:</v>
      </c>
      <c r="D167" s="48" t="s">
        <v>168</v>
      </c>
      <c r="E167" s="306">
        <f>Fin_Projections!E179</f>
        <v>42.900000000000034</v>
      </c>
      <c r="F167" s="306">
        <f>Fin_Projections!F179</f>
        <v>-23.7</v>
      </c>
      <c r="G167" s="306">
        <f>Fin_Projections!G179</f>
        <v>-52.899999999999977</v>
      </c>
      <c r="H167" s="47">
        <f>Fin_Projections!H179*Pre_Txn_Stub</f>
        <v>-7.1005939572994414</v>
      </c>
      <c r="I167" s="365"/>
      <c r="J167" s="366"/>
      <c r="K167" s="367"/>
      <c r="L167" s="351">
        <f>Fin_Projections!H179*Post_Txn_Stub</f>
        <v>-2.3238307496616351</v>
      </c>
      <c r="M167" s="342">
        <f>Fin_Projections!I179</f>
        <v>-33.850268315796882</v>
      </c>
      <c r="N167" s="342">
        <f>Fin_Projections!J179</f>
        <v>-19.004442025273306</v>
      </c>
      <c r="O167" s="342">
        <f>Fin_Projections!K179</f>
        <v>-29.027144600943757</v>
      </c>
      <c r="P167" s="342">
        <f>Fin_Projections!L179</f>
        <v>-26.891199206198962</v>
      </c>
      <c r="Q167" s="342">
        <f>Fin_Projections!M179</f>
        <v>-28.643532502430332</v>
      </c>
    </row>
    <row r="168" spans="2:17" ht="15.75" customHeight="1" outlineLevel="1" x14ac:dyDescent="0.25">
      <c r="C168" s="32" t="str">
        <f>Fin_Projections!C180</f>
        <v>Net Cash Provided by Operating Activities:</v>
      </c>
      <c r="D168" s="106" t="s">
        <v>168</v>
      </c>
      <c r="E168" s="33">
        <f>SUM(E153:E167)</f>
        <v>178.8000000000001</v>
      </c>
      <c r="F168" s="33">
        <f t="shared" ref="F168:G168" si="57">SUM(F153:F167)</f>
        <v>125.30000000000008</v>
      </c>
      <c r="G168" s="33">
        <f t="shared" si="57"/>
        <v>158.7000000000001</v>
      </c>
      <c r="H168" s="33">
        <f>SUM(H153:H167)</f>
        <v>155.15875237971306</v>
      </c>
      <c r="I168" s="77"/>
      <c r="J168" s="66"/>
      <c r="K168" s="78"/>
      <c r="L168" s="66">
        <f>SUM(L153:L167)</f>
        <v>37.029505148181201</v>
      </c>
      <c r="M168" s="66">
        <f t="shared" ref="M168:Q168" si="58">SUM(M153:M167)</f>
        <v>162.99606556665037</v>
      </c>
      <c r="N168" s="66">
        <f t="shared" si="58"/>
        <v>197.14891456105511</v>
      </c>
      <c r="O168" s="66">
        <f t="shared" si="58"/>
        <v>209.93940840297239</v>
      </c>
      <c r="P168" s="66">
        <f t="shared" si="58"/>
        <v>236.37325179724343</v>
      </c>
      <c r="Q168" s="66">
        <f t="shared" si="58"/>
        <v>262.75246243655317</v>
      </c>
    </row>
    <row r="169" spans="2:17" ht="15.75" customHeight="1" outlineLevel="1" x14ac:dyDescent="0.25">
      <c r="C169" s="3"/>
      <c r="E169" s="23"/>
      <c r="F169" s="301"/>
      <c r="G169" s="301"/>
      <c r="H169" s="301"/>
      <c r="I169" s="77"/>
      <c r="J169" s="66"/>
      <c r="K169" s="78"/>
      <c r="L169" s="301"/>
      <c r="M169" s="66"/>
      <c r="N169" s="66"/>
      <c r="O169" s="66"/>
      <c r="P169" s="66"/>
      <c r="Q169" s="66"/>
    </row>
    <row r="170" spans="2:17" ht="15.75" customHeight="1" outlineLevel="1" x14ac:dyDescent="0.25">
      <c r="B170" s="9" t="str">
        <f>Fin_Projections!B182</f>
        <v>CASH FLOWS FROM INVESTING ACTIVITIES:</v>
      </c>
      <c r="C170" s="9"/>
      <c r="D170" s="9"/>
      <c r="E170" s="9"/>
      <c r="F170" s="9"/>
      <c r="G170" s="9"/>
      <c r="H170" s="9"/>
      <c r="I170" s="368"/>
      <c r="J170" s="369"/>
      <c r="K170" s="370"/>
      <c r="L170" s="377"/>
      <c r="M170" s="369"/>
      <c r="N170" s="369"/>
      <c r="O170" s="369"/>
      <c r="P170" s="369"/>
      <c r="Q170" s="369"/>
    </row>
    <row r="171" spans="2:17" ht="15.75" customHeight="1" outlineLevel="1" x14ac:dyDescent="0.25">
      <c r="C171" s="169" t="str">
        <f>Fin_Projections!C183</f>
        <v>(-) Capital Expenditures:</v>
      </c>
      <c r="D171" s="48" t="s">
        <v>168</v>
      </c>
      <c r="E171" s="306">
        <f>Fin_Projections!E183</f>
        <v>-203.7</v>
      </c>
      <c r="F171" s="306">
        <f>Fin_Projections!F183</f>
        <v>-233.1</v>
      </c>
      <c r="G171" s="306">
        <f>Fin_Projections!G183</f>
        <v>-165.7</v>
      </c>
      <c r="H171" s="47">
        <f>Fin_Projections!H183*Pre_Txn_Stub</f>
        <v>-74.086757990867582</v>
      </c>
      <c r="I171" s="77"/>
      <c r="J171" s="66"/>
      <c r="K171" s="78"/>
      <c r="L171" s="47">
        <f>Fin_Projections!H183*Post_Txn_Stub</f>
        <v>-24.246575342465754</v>
      </c>
      <c r="M171" s="306">
        <f>Fin_Projections!I183</f>
        <v>-132.66666666666669</v>
      </c>
      <c r="N171" s="306">
        <f>Fin_Projections!J183</f>
        <v>-167</v>
      </c>
      <c r="O171" s="306">
        <f>Fin_Projections!K183</f>
        <v>-171.39999999999998</v>
      </c>
      <c r="P171" s="306">
        <f>Fin_Projections!L183</f>
        <v>-139.11666666666667</v>
      </c>
      <c r="Q171" s="306">
        <f>Fin_Projections!M183</f>
        <v>-106.83333333333333</v>
      </c>
    </row>
    <row r="172" spans="2:17" ht="15.75" customHeight="1" outlineLevel="1" x14ac:dyDescent="0.25">
      <c r="C172" s="268" t="str">
        <f>Fin_Projections!C184</f>
        <v>(+/-) Other Investing Activities:</v>
      </c>
      <c r="D172" s="48" t="s">
        <v>168</v>
      </c>
      <c r="E172" s="306">
        <f>Fin_Projections!E184</f>
        <v>34.1</v>
      </c>
      <c r="F172" s="306">
        <f>Fin_Projections!F184</f>
        <v>31.8</v>
      </c>
      <c r="G172" s="306">
        <f>Fin_Projections!G184</f>
        <v>33.1</v>
      </c>
      <c r="H172" s="47">
        <f>Fin_Projections!H184*Pre_Txn_Stub</f>
        <v>27.019917203912538</v>
      </c>
      <c r="I172" s="77"/>
      <c r="J172" s="66"/>
      <c r="K172" s="78"/>
      <c r="L172" s="47">
        <f>Fin_Projections!H184*Post_Txn_Stub</f>
        <v>8.8428819940077386</v>
      </c>
      <c r="M172" s="306">
        <f>Fin_Projections!I184</f>
        <v>40.943597450659944</v>
      </c>
      <c r="N172" s="306">
        <f>Fin_Projections!J184</f>
        <v>43.073058984571674</v>
      </c>
      <c r="O172" s="306">
        <f>Fin_Projections!K184</f>
        <v>46.779613172702248</v>
      </c>
      <c r="P172" s="306">
        <f>Fin_Projections!L184</f>
        <v>50.188800212752525</v>
      </c>
      <c r="Q172" s="306">
        <f>Fin_Projections!M184</f>
        <v>53.726806900959332</v>
      </c>
    </row>
    <row r="173" spans="2:17" ht="15.75" customHeight="1" outlineLevel="1" x14ac:dyDescent="0.25">
      <c r="C173" s="260" t="str">
        <f>Fin_Projections!C185</f>
        <v>(-) Finance/Op. Lease Asset Additions:</v>
      </c>
      <c r="D173" s="45" t="s">
        <v>168</v>
      </c>
      <c r="E173" s="306">
        <f>Fin_Projections!E185</f>
        <v>-35.1</v>
      </c>
      <c r="F173" s="306">
        <f>Fin_Projections!F185</f>
        <v>-12.3</v>
      </c>
      <c r="G173" s="306">
        <f>Fin_Projections!G185</f>
        <v>-119.2</v>
      </c>
      <c r="H173" s="47">
        <f>Fin_Projections!H185*Pre_Txn_Stub</f>
        <v>-56.506849315068493</v>
      </c>
      <c r="I173" s="365"/>
      <c r="J173" s="366"/>
      <c r="K173" s="367"/>
      <c r="L173" s="351">
        <f>Fin_Projections!H185*Post_Txn_Stub</f>
        <v>-18.493150684931507</v>
      </c>
      <c r="M173" s="342">
        <f>Fin_Projections!I185</f>
        <v>-75</v>
      </c>
      <c r="N173" s="342">
        <f>Fin_Projections!J185</f>
        <v>-75</v>
      </c>
      <c r="O173" s="342">
        <f>Fin_Projections!K185</f>
        <v>-75</v>
      </c>
      <c r="P173" s="342">
        <f>Fin_Projections!L185</f>
        <v>-75</v>
      </c>
      <c r="Q173" s="342">
        <f>Fin_Projections!M185</f>
        <v>-75</v>
      </c>
    </row>
    <row r="174" spans="2:17" ht="15.75" customHeight="1" outlineLevel="1" x14ac:dyDescent="0.25">
      <c r="C174" s="32" t="str">
        <f>Fin_Projections!C186</f>
        <v>Net Cash Used in Investing Activities:</v>
      </c>
      <c r="D174" s="48" t="s">
        <v>168</v>
      </c>
      <c r="E174" s="33">
        <f>SUM(E171:E173)</f>
        <v>-204.7</v>
      </c>
      <c r="F174" s="33">
        <f t="shared" ref="F174:G174" si="59">SUM(F171:F173)</f>
        <v>-213.6</v>
      </c>
      <c r="G174" s="33">
        <f t="shared" si="59"/>
        <v>-251.8</v>
      </c>
      <c r="H174" s="33">
        <f>SUM(H171:H173)</f>
        <v>-103.57369010202353</v>
      </c>
      <c r="I174" s="77"/>
      <c r="J174" s="66"/>
      <c r="K174" s="78"/>
      <c r="L174" s="66">
        <f>SUM(L171:L173)</f>
        <v>-33.89684403338952</v>
      </c>
      <c r="M174" s="66">
        <f>SUM(M171:M173)</f>
        <v>-166.72306921600673</v>
      </c>
      <c r="N174" s="66">
        <f t="shared" ref="N174:Q174" si="60">SUM(N171:N173)</f>
        <v>-198.92694101542833</v>
      </c>
      <c r="O174" s="66">
        <f t="shared" si="60"/>
        <v>-199.62038682729772</v>
      </c>
      <c r="P174" s="66">
        <f t="shared" si="60"/>
        <v>-163.92786645391413</v>
      </c>
      <c r="Q174" s="66">
        <f t="shared" si="60"/>
        <v>-128.10652643237398</v>
      </c>
    </row>
    <row r="175" spans="2:17" ht="15.75" customHeight="1" outlineLevel="1" x14ac:dyDescent="0.25">
      <c r="C175" s="3"/>
      <c r="E175" s="23"/>
      <c r="F175" s="23"/>
      <c r="G175" s="24"/>
      <c r="H175" s="24"/>
      <c r="I175" s="77"/>
      <c r="J175" s="66"/>
      <c r="K175" s="78"/>
      <c r="L175" s="24"/>
      <c r="M175" s="66"/>
      <c r="N175" s="66"/>
      <c r="O175" s="66"/>
      <c r="P175" s="66"/>
      <c r="Q175" s="66"/>
    </row>
    <row r="176" spans="2:17" ht="15.75" customHeight="1" outlineLevel="1" x14ac:dyDescent="0.25">
      <c r="B176" s="9" t="str">
        <f>Fin_Projections!B188</f>
        <v>CASH FLOWS FROM FINANCING ACTIVITIES:</v>
      </c>
      <c r="C176" s="9"/>
      <c r="D176" s="9"/>
      <c r="E176" s="9"/>
      <c r="F176" s="9"/>
      <c r="G176" s="9"/>
      <c r="H176" s="9"/>
      <c r="I176" s="368"/>
      <c r="J176" s="369"/>
      <c r="K176" s="370"/>
      <c r="L176" s="377"/>
      <c r="M176" s="369"/>
      <c r="N176" s="369"/>
      <c r="O176" s="369"/>
      <c r="P176" s="369"/>
      <c r="Q176" s="369"/>
    </row>
    <row r="177" spans="3:17" ht="15.75" customHeight="1" outlineLevel="1" x14ac:dyDescent="0.25">
      <c r="C177" s="261" t="str">
        <f>Fin_Projections!C189</f>
        <v>(+) Share Issuances / (-) Repurchases:</v>
      </c>
      <c r="D177" s="48" t="s">
        <v>168</v>
      </c>
      <c r="E177" s="306">
        <f>Fin_Projections!E189</f>
        <v>0</v>
      </c>
      <c r="F177" s="306">
        <f>Fin_Projections!F189</f>
        <v>0</v>
      </c>
      <c r="G177" s="306">
        <f>Fin_Projections!G189</f>
        <v>0</v>
      </c>
      <c r="H177" s="47">
        <f>Fin_Projections!H189*Pre_Txn_Stub</f>
        <v>0</v>
      </c>
      <c r="I177" s="77"/>
      <c r="J177" s="66"/>
      <c r="K177" s="78"/>
      <c r="L177" s="528">
        <v>0</v>
      </c>
      <c r="M177" s="47">
        <f>L177</f>
        <v>0</v>
      </c>
      <c r="N177" s="47">
        <f t="shared" ref="N177:Q177" si="61">M177</f>
        <v>0</v>
      </c>
      <c r="O177" s="47">
        <f t="shared" si="61"/>
        <v>0</v>
      </c>
      <c r="P177" s="47">
        <f t="shared" si="61"/>
        <v>0</v>
      </c>
      <c r="Q177" s="47">
        <f t="shared" si="61"/>
        <v>0</v>
      </c>
    </row>
    <row r="178" spans="3:17" ht="15.75" customHeight="1" outlineLevel="1" x14ac:dyDescent="0.25">
      <c r="C178" s="530" t="str">
        <f>Fin_Projections!C190</f>
        <v>(-) Ordinary Dividends Paid:</v>
      </c>
      <c r="D178" s="193" t="s">
        <v>168</v>
      </c>
      <c r="E178" s="381">
        <f>Fin_Projections!E190</f>
        <v>0</v>
      </c>
      <c r="F178" s="381">
        <f>Fin_Projections!F190</f>
        <v>0</v>
      </c>
      <c r="G178" s="381">
        <f>Fin_Projections!G190</f>
        <v>0</v>
      </c>
      <c r="H178" s="382">
        <f>Fin_Projections!H190*Pre_Txn_Stub</f>
        <v>0</v>
      </c>
      <c r="I178" s="410"/>
      <c r="J178" s="411"/>
      <c r="K178" s="412"/>
      <c r="L178" s="531"/>
      <c r="M178" s="382"/>
      <c r="N178" s="532"/>
      <c r="O178" s="532"/>
      <c r="P178" s="532"/>
      <c r="Q178" s="532"/>
    </row>
    <row r="179" spans="3:17" ht="15.75" customHeight="1" outlineLevel="1" x14ac:dyDescent="0.25">
      <c r="C179" s="302" t="str">
        <f>Fin_Projections!C191</f>
        <v>(+) Debt Issuances:</v>
      </c>
      <c r="D179" s="48" t="s">
        <v>168</v>
      </c>
      <c r="E179" s="306">
        <f>Fin_Projections!E191</f>
        <v>0</v>
      </c>
      <c r="F179" s="306">
        <f>Fin_Projections!F191</f>
        <v>91.7</v>
      </c>
      <c r="G179" s="306">
        <f>Fin_Projections!G191</f>
        <v>0</v>
      </c>
      <c r="H179" s="47">
        <f>Fin_Projections!H191*Pre_Txn_Stub</f>
        <v>0</v>
      </c>
      <c r="I179" s="77"/>
      <c r="J179" s="66"/>
      <c r="K179" s="78"/>
      <c r="L179" s="529">
        <v>0</v>
      </c>
      <c r="M179" s="47">
        <f>L179</f>
        <v>0</v>
      </c>
      <c r="N179" s="47">
        <f t="shared" ref="N179:Q179" si="62">M179</f>
        <v>0</v>
      </c>
      <c r="O179" s="47">
        <f t="shared" si="62"/>
        <v>0</v>
      </c>
      <c r="P179" s="47">
        <f t="shared" si="62"/>
        <v>0</v>
      </c>
      <c r="Q179" s="47">
        <f t="shared" si="62"/>
        <v>0</v>
      </c>
    </row>
    <row r="180" spans="3:17" ht="15.75" customHeight="1" outlineLevel="1" x14ac:dyDescent="0.25">
      <c r="C180" s="260" t="str">
        <f>Fin_Projections!C192</f>
        <v>(+) Finance/Op. Lease Liability Additions:</v>
      </c>
      <c r="D180" s="48" t="s">
        <v>168</v>
      </c>
      <c r="E180" s="306">
        <f>Fin_Projections!E192</f>
        <v>35.1</v>
      </c>
      <c r="F180" s="306">
        <f>Fin_Projections!F192</f>
        <v>12.3</v>
      </c>
      <c r="G180" s="306">
        <f>Fin_Projections!G192</f>
        <v>119.2</v>
      </c>
      <c r="H180" s="47">
        <f>Fin_Projections!H192*Pre_Txn_Stub</f>
        <v>56.506849315068493</v>
      </c>
      <c r="I180" s="77"/>
      <c r="J180" s="66"/>
      <c r="K180" s="78"/>
      <c r="L180" s="47">
        <f>Fin_Projections!H192*Post_Txn_Stub</f>
        <v>18.493150684931507</v>
      </c>
      <c r="M180" s="306">
        <f>Fin_Projections!I192</f>
        <v>75</v>
      </c>
      <c r="N180" s="306">
        <f>Fin_Projections!J192</f>
        <v>75</v>
      </c>
      <c r="O180" s="306">
        <f>Fin_Projections!K192</f>
        <v>75</v>
      </c>
      <c r="P180" s="306">
        <f>Fin_Projections!L192</f>
        <v>75</v>
      </c>
      <c r="Q180" s="306">
        <f>Fin_Projections!M192</f>
        <v>75</v>
      </c>
    </row>
    <row r="181" spans="3:17" ht="15.75" customHeight="1" outlineLevel="1" x14ac:dyDescent="0.25">
      <c r="C181" s="260" t="str">
        <f>Fin_Projections!C193</f>
        <v>(-) Payments of Finance/Op. Lease Liabilities:</v>
      </c>
      <c r="D181" s="48" t="s">
        <v>168</v>
      </c>
      <c r="E181" s="306">
        <f>Fin_Projections!E193</f>
        <v>-17.600000000000001</v>
      </c>
      <c r="F181" s="306">
        <f>Fin_Projections!F193</f>
        <v>-23.999999999999972</v>
      </c>
      <c r="G181" s="306">
        <f>Fin_Projections!G193</f>
        <v>-29.10000000000003</v>
      </c>
      <c r="H181" s="47">
        <f>Fin_Projections!H193*Pre_Txn_Stub</f>
        <v>-17.140410958904113</v>
      </c>
      <c r="I181" s="77"/>
      <c r="J181" s="66"/>
      <c r="K181" s="78"/>
      <c r="L181" s="47">
        <f>Fin_Projections!H193*Post_Txn_Stub</f>
        <v>-5.6095890410958908</v>
      </c>
      <c r="M181" s="306">
        <f>Fin_Projections!I193</f>
        <v>-23.1</v>
      </c>
      <c r="N181" s="306">
        <f>Fin_Projections!J193</f>
        <v>-23.450000000000003</v>
      </c>
      <c r="O181" s="306">
        <f>Fin_Projections!K193</f>
        <v>-27.2</v>
      </c>
      <c r="P181" s="306">
        <f>Fin_Projections!L193</f>
        <v>-27.6</v>
      </c>
      <c r="Q181" s="306">
        <f>Fin_Projections!M193</f>
        <v>-28</v>
      </c>
    </row>
    <row r="182" spans="3:17" ht="15.75" customHeight="1" outlineLevel="1" x14ac:dyDescent="0.25">
      <c r="C182" s="261" t="str">
        <f>Fin_Projections!C194</f>
        <v>(-) Debt Repayments &amp; Maturities:</v>
      </c>
      <c r="D182" s="45" t="s">
        <v>168</v>
      </c>
      <c r="E182" s="306">
        <f>Fin_Projections!E194</f>
        <v>0</v>
      </c>
      <c r="F182" s="306">
        <f>Fin_Projections!F194</f>
        <v>0</v>
      </c>
      <c r="G182" s="306">
        <f>Fin_Projections!G194</f>
        <v>0</v>
      </c>
      <c r="H182" s="47">
        <f>Fin_Projections!H194*Pre_Txn_Stub</f>
        <v>0</v>
      </c>
      <c r="I182" s="365"/>
      <c r="J182" s="366"/>
      <c r="K182" s="367"/>
      <c r="L182" s="379">
        <v>0</v>
      </c>
      <c r="M182" s="351">
        <f>L182</f>
        <v>0</v>
      </c>
      <c r="N182" s="351">
        <f t="shared" ref="N182:Q182" si="63">M182</f>
        <v>0</v>
      </c>
      <c r="O182" s="351">
        <f t="shared" si="63"/>
        <v>0</v>
      </c>
      <c r="P182" s="351">
        <f t="shared" si="63"/>
        <v>0</v>
      </c>
      <c r="Q182" s="351">
        <f t="shared" si="63"/>
        <v>0</v>
      </c>
    </row>
    <row r="183" spans="3:17" ht="15.75" customHeight="1" outlineLevel="1" x14ac:dyDescent="0.25">
      <c r="C183" s="32" t="str">
        <f>Fin_Projections!C195</f>
        <v>Net Cash Flow from Financing Activities:</v>
      </c>
      <c r="D183" s="48" t="s">
        <v>168</v>
      </c>
      <c r="E183" s="33">
        <f>SUM(E177:E182)</f>
        <v>17.5</v>
      </c>
      <c r="F183" s="33">
        <f t="shared" ref="F183:G183" si="64">SUM(F177:F182)</f>
        <v>80.000000000000028</v>
      </c>
      <c r="G183" s="33">
        <f t="shared" si="64"/>
        <v>90.099999999999966</v>
      </c>
      <c r="H183" s="33">
        <f>SUM(H177:H182)</f>
        <v>39.36643835616438</v>
      </c>
      <c r="I183" s="77"/>
      <c r="J183" s="66"/>
      <c r="K183" s="78"/>
      <c r="L183" s="66">
        <f>SUM(L177:L182)</f>
        <v>12.883561643835616</v>
      </c>
      <c r="M183" s="66">
        <f t="shared" ref="M183:Q183" si="65">SUM(M177:M182)</f>
        <v>51.9</v>
      </c>
      <c r="N183" s="66">
        <f t="shared" si="65"/>
        <v>51.55</v>
      </c>
      <c r="O183" s="66">
        <f t="shared" si="65"/>
        <v>47.8</v>
      </c>
      <c r="P183" s="66">
        <f t="shared" si="65"/>
        <v>47.4</v>
      </c>
      <c r="Q183" s="66">
        <f t="shared" si="65"/>
        <v>47</v>
      </c>
    </row>
    <row r="184" spans="3:17" ht="15.75" customHeight="1" outlineLevel="1" x14ac:dyDescent="0.25">
      <c r="C184" s="59"/>
      <c r="D184" s="48"/>
      <c r="E184" s="66"/>
      <c r="F184" s="66"/>
      <c r="G184" s="66"/>
      <c r="H184" s="66"/>
      <c r="I184" s="77"/>
      <c r="J184" s="66"/>
      <c r="K184" s="78"/>
      <c r="L184" s="66"/>
      <c r="M184" s="66"/>
      <c r="N184" s="66"/>
      <c r="O184" s="66"/>
      <c r="P184" s="66"/>
      <c r="Q184" s="66"/>
    </row>
    <row r="185" spans="3:17" ht="15.75" customHeight="1" outlineLevel="1" x14ac:dyDescent="0.25">
      <c r="C185" s="3" t="s">
        <v>285</v>
      </c>
      <c r="D185" s="48" t="s">
        <v>168</v>
      </c>
      <c r="E185" s="36">
        <f>E168+E174+E183</f>
        <v>-8.399999999999892</v>
      </c>
      <c r="F185" s="36">
        <f t="shared" ref="F185:H185" si="66">F168+F174+F183</f>
        <v>-8.2999999999998835</v>
      </c>
      <c r="G185" s="36">
        <f t="shared" si="66"/>
        <v>-2.9999999999999432</v>
      </c>
      <c r="H185" s="36">
        <f t="shared" si="66"/>
        <v>90.951500633853911</v>
      </c>
      <c r="I185" s="77"/>
      <c r="J185" s="66"/>
      <c r="K185" s="78"/>
      <c r="L185" s="36">
        <f>L168+L174+L183</f>
        <v>16.016222758627297</v>
      </c>
      <c r="M185" s="36">
        <f t="shared" ref="M185:Q185" si="67">M168+M174+M183</f>
        <v>48.172996350643636</v>
      </c>
      <c r="N185" s="36">
        <f t="shared" si="67"/>
        <v>49.771973545626778</v>
      </c>
      <c r="O185" s="36">
        <f t="shared" si="67"/>
        <v>58.119021575674665</v>
      </c>
      <c r="P185" s="36">
        <f t="shared" si="67"/>
        <v>119.8453853433293</v>
      </c>
      <c r="Q185" s="36">
        <f t="shared" si="67"/>
        <v>181.64593600417919</v>
      </c>
    </row>
    <row r="186" spans="3:17" ht="15.75" customHeight="1" outlineLevel="1" x14ac:dyDescent="0.25">
      <c r="C186" s="3"/>
      <c r="E186" s="23"/>
      <c r="F186" s="23"/>
      <c r="G186" s="23"/>
      <c r="H186" s="23"/>
      <c r="I186" s="85"/>
      <c r="J186" s="24"/>
      <c r="K186" s="86"/>
      <c r="L186" s="23"/>
      <c r="M186" s="23"/>
      <c r="N186" s="23"/>
      <c r="O186" s="23"/>
      <c r="P186" s="23"/>
      <c r="Q186" s="23"/>
    </row>
    <row r="187" spans="3:17" ht="15.75" customHeight="1" outlineLevel="1" x14ac:dyDescent="0.25">
      <c r="C187" s="3" t="s">
        <v>23</v>
      </c>
      <c r="D187" s="48" t="s">
        <v>168</v>
      </c>
      <c r="E187" s="36"/>
      <c r="F187" s="36"/>
      <c r="G187" s="36"/>
      <c r="H187" s="36"/>
      <c r="I187" s="77"/>
      <c r="J187" s="66"/>
      <c r="K187" s="78"/>
      <c r="L187" s="112">
        <f>K116</f>
        <v>0</v>
      </c>
      <c r="M187" s="36">
        <f>L194</f>
        <v>38.377764544433788</v>
      </c>
      <c r="N187" s="36">
        <f t="shared" ref="N187:Q187" si="68">M194</f>
        <v>43.279451157816233</v>
      </c>
      <c r="O187" s="36">
        <f t="shared" si="68"/>
        <v>45.161074357449941</v>
      </c>
      <c r="P187" s="36">
        <f t="shared" si="68"/>
        <v>52.444628204101193</v>
      </c>
      <c r="Q187" s="36">
        <f t="shared" si="68"/>
        <v>73.670067943039641</v>
      </c>
    </row>
    <row r="188" spans="3:17" ht="15.75" customHeight="1" outlineLevel="1" x14ac:dyDescent="0.25">
      <c r="C188" s="328" t="s">
        <v>289</v>
      </c>
      <c r="D188" s="48" t="s">
        <v>168</v>
      </c>
      <c r="E188" s="121"/>
      <c r="F188" s="121"/>
      <c r="G188" s="121"/>
      <c r="H188" s="121"/>
      <c r="I188" s="150"/>
      <c r="J188" s="151"/>
      <c r="K188" s="152"/>
      <c r="L188" s="121">
        <f>L185</f>
        <v>16.016222758627297</v>
      </c>
      <c r="M188" s="121">
        <f>M185</f>
        <v>48.172996350643636</v>
      </c>
      <c r="N188" s="121">
        <f t="shared" ref="N188:Q188" si="69">N185</f>
        <v>49.771973545626778</v>
      </c>
      <c r="O188" s="121">
        <f t="shared" si="69"/>
        <v>58.119021575674665</v>
      </c>
      <c r="P188" s="121">
        <f t="shared" si="69"/>
        <v>119.8453853433293</v>
      </c>
      <c r="Q188" s="121">
        <f t="shared" si="69"/>
        <v>181.64593600417919</v>
      </c>
    </row>
    <row r="189" spans="3:17" ht="15.75" customHeight="1" outlineLevel="1" x14ac:dyDescent="0.25">
      <c r="C189" s="419" t="s">
        <v>297</v>
      </c>
      <c r="D189" s="48" t="s">
        <v>168</v>
      </c>
      <c r="E189" s="121"/>
      <c r="F189" s="121"/>
      <c r="G189" s="121"/>
      <c r="H189" s="121"/>
      <c r="I189" s="150"/>
      <c r="J189" s="151"/>
      <c r="K189" s="152"/>
      <c r="L189" s="47"/>
      <c r="M189" s="121"/>
      <c r="N189" s="121"/>
      <c r="O189" s="121"/>
      <c r="P189" s="121"/>
      <c r="Q189" s="121"/>
    </row>
    <row r="190" spans="3:17" ht="15.75" customHeight="1" outlineLevel="1" x14ac:dyDescent="0.25">
      <c r="C190" s="419" t="s">
        <v>340</v>
      </c>
      <c r="D190" s="48" t="s">
        <v>168</v>
      </c>
      <c r="E190" s="121"/>
      <c r="F190" s="121"/>
      <c r="G190" s="121"/>
      <c r="H190" s="121"/>
      <c r="I190" s="150"/>
      <c r="J190" s="151"/>
      <c r="K190" s="152"/>
      <c r="L190" s="47"/>
      <c r="M190" s="121"/>
      <c r="N190" s="121"/>
      <c r="O190" s="121"/>
      <c r="P190" s="121"/>
      <c r="Q190" s="121"/>
    </row>
    <row r="191" spans="3:17" ht="15.75" customHeight="1" outlineLevel="1" x14ac:dyDescent="0.25">
      <c r="C191" s="414" t="s">
        <v>300</v>
      </c>
      <c r="D191" s="48" t="s">
        <v>168</v>
      </c>
      <c r="E191" s="121"/>
      <c r="F191" s="82"/>
      <c r="G191" s="82"/>
      <c r="H191" s="82"/>
      <c r="I191" s="150"/>
      <c r="J191" s="151"/>
      <c r="K191" s="152"/>
      <c r="L191" s="109">
        <f>L240</f>
        <v>30.575829457039369</v>
      </c>
      <c r="M191" s="121">
        <f t="shared" ref="M191:Q191" si="70">M240</f>
        <v>0</v>
      </c>
      <c r="N191" s="121">
        <f t="shared" si="70"/>
        <v>0</v>
      </c>
      <c r="O191" s="121">
        <f t="shared" si="70"/>
        <v>0</v>
      </c>
      <c r="P191" s="121">
        <f t="shared" si="70"/>
        <v>0</v>
      </c>
      <c r="Q191" s="121">
        <f t="shared" si="70"/>
        <v>0</v>
      </c>
    </row>
    <row r="192" spans="3:17" ht="15.75" customHeight="1" outlineLevel="1" x14ac:dyDescent="0.25">
      <c r="C192" s="119" t="s">
        <v>98</v>
      </c>
      <c r="D192" s="48" t="s">
        <v>168</v>
      </c>
      <c r="E192" s="121"/>
      <c r="F192" s="82"/>
      <c r="G192" s="82"/>
      <c r="H192" s="82"/>
      <c r="I192" s="150"/>
      <c r="J192" s="151"/>
      <c r="K192" s="152"/>
      <c r="L192" s="109">
        <f>-L258</f>
        <v>-8.2142876712328796</v>
      </c>
      <c r="M192" s="121">
        <f t="shared" ref="M192:Q192" si="71">-M258</f>
        <v>-33.313500000000019</v>
      </c>
      <c r="N192" s="121">
        <f t="shared" si="71"/>
        <v>-33.313500000000019</v>
      </c>
      <c r="O192" s="121">
        <f t="shared" si="71"/>
        <v>-33.313500000000019</v>
      </c>
      <c r="P192" s="121">
        <f t="shared" si="71"/>
        <v>-33.313500000000019</v>
      </c>
      <c r="Q192" s="121">
        <f t="shared" si="71"/>
        <v>-33.313500000000019</v>
      </c>
    </row>
    <row r="193" spans="2:31" ht="15.75" customHeight="1" outlineLevel="1" x14ac:dyDescent="0.25">
      <c r="C193" s="446" t="s">
        <v>301</v>
      </c>
      <c r="D193" s="45" t="s">
        <v>168</v>
      </c>
      <c r="E193" s="123"/>
      <c r="F193" s="123"/>
      <c r="G193" s="123"/>
      <c r="H193" s="123"/>
      <c r="I193" s="159"/>
      <c r="J193" s="123"/>
      <c r="K193" s="160"/>
      <c r="L193" s="458">
        <f>-L267</f>
        <v>0</v>
      </c>
      <c r="M193" s="154">
        <f t="shared" ref="M193:Q193" si="72">-M267</f>
        <v>-9.9578097372611651</v>
      </c>
      <c r="N193" s="154">
        <f t="shared" si="72"/>
        <v>-14.576850345993059</v>
      </c>
      <c r="O193" s="154">
        <f t="shared" si="72"/>
        <v>-17.521967729023402</v>
      </c>
      <c r="P193" s="154">
        <f t="shared" si="72"/>
        <v>-65.306445604390802</v>
      </c>
      <c r="Q193" s="154">
        <f t="shared" si="72"/>
        <v>-125.0321351308792</v>
      </c>
    </row>
    <row r="194" spans="2:31" ht="15.75" customHeight="1" outlineLevel="1" x14ac:dyDescent="0.25">
      <c r="C194" s="59" t="s">
        <v>24</v>
      </c>
      <c r="D194" s="48" t="s">
        <v>168</v>
      </c>
      <c r="E194" s="80"/>
      <c r="F194" s="80"/>
      <c r="G194" s="80"/>
      <c r="H194" s="80"/>
      <c r="I194" s="79"/>
      <c r="J194" s="80"/>
      <c r="K194" s="81"/>
      <c r="L194" s="276">
        <f>SUM(L187:L193)</f>
        <v>38.377764544433788</v>
      </c>
      <c r="M194" s="276">
        <f>SUM(M187:M193)</f>
        <v>43.279451157816233</v>
      </c>
      <c r="N194" s="276">
        <f t="shared" ref="N194:Q194" si="73">SUM(N187:N193)</f>
        <v>45.161074357449941</v>
      </c>
      <c r="O194" s="276">
        <f t="shared" si="73"/>
        <v>52.444628204101193</v>
      </c>
      <c r="P194" s="276">
        <f t="shared" si="73"/>
        <v>73.670067943039641</v>
      </c>
      <c r="Q194" s="276">
        <f t="shared" si="73"/>
        <v>96.970368816339629</v>
      </c>
    </row>
    <row r="195" spans="2:31" ht="15.75" customHeight="1" x14ac:dyDescent="0.25">
      <c r="C195" s="3"/>
      <c r="G195" s="128"/>
      <c r="H195" s="128"/>
      <c r="I195" s="128"/>
      <c r="J195" s="128"/>
      <c r="K195" s="128"/>
      <c r="L195" s="121"/>
      <c r="M195" s="121"/>
      <c r="N195" s="121"/>
      <c r="O195" s="121"/>
      <c r="P195" s="121"/>
      <c r="Q195" s="121"/>
    </row>
    <row r="196" spans="2:31" ht="15.75" customHeight="1" x14ac:dyDescent="0.25">
      <c r="B196" s="25"/>
      <c r="C196" s="26"/>
      <c r="D196" s="14"/>
      <c r="E196" s="15" t="str">
        <f>$E$82</f>
        <v>Historical:</v>
      </c>
      <c r="F196" s="16"/>
      <c r="G196" s="16"/>
      <c r="H196" s="321" t="str">
        <f>$H$82</f>
        <v>Stub:</v>
      </c>
      <c r="I196" s="17" t="str">
        <f>$I$82</f>
        <v>Transaction Adjustments:</v>
      </c>
      <c r="J196" s="16"/>
      <c r="K196" s="16"/>
      <c r="L196" s="320" t="str">
        <f>$L$82</f>
        <v>Stub:</v>
      </c>
      <c r="M196" s="15" t="str">
        <f>$M$82</f>
        <v>Post-Transaction - Projected:</v>
      </c>
      <c r="N196" s="16"/>
      <c r="O196" s="16"/>
      <c r="P196" s="16"/>
      <c r="Q196" s="16"/>
    </row>
    <row r="197" spans="2:31" ht="15.75" customHeight="1" x14ac:dyDescent="0.25">
      <c r="B197" s="4" t="s">
        <v>2</v>
      </c>
      <c r="C197" s="5"/>
      <c r="D197" s="35" t="str">
        <f>$D$5</f>
        <v>Units:</v>
      </c>
      <c r="E197" s="1">
        <f>$E$83</f>
        <v>43190</v>
      </c>
      <c r="F197" s="1">
        <f>$F$83</f>
        <v>43555</v>
      </c>
      <c r="G197" s="2">
        <f>$G$83</f>
        <v>43921</v>
      </c>
      <c r="H197" s="319">
        <f>$H$83</f>
        <v>44196</v>
      </c>
      <c r="I197" s="1" t="str">
        <f>$I$83</f>
        <v>Debit</v>
      </c>
      <c r="J197" s="1" t="str">
        <f>$J$83</f>
        <v>Credit</v>
      </c>
      <c r="K197" s="319">
        <f>$K$83</f>
        <v>44196</v>
      </c>
      <c r="L197" s="319">
        <f>$L$83</f>
        <v>44286</v>
      </c>
      <c r="M197" s="1">
        <f>$M$83</f>
        <v>44651</v>
      </c>
      <c r="N197" s="1">
        <f>$N$83</f>
        <v>45016</v>
      </c>
      <c r="O197" s="1">
        <f>$O$83</f>
        <v>45382</v>
      </c>
      <c r="P197" s="1">
        <f>$P$83</f>
        <v>45747</v>
      </c>
      <c r="Q197" s="324">
        <f>$Q$83</f>
        <v>46112</v>
      </c>
      <c r="S197" s="525"/>
      <c r="T197" s="525"/>
      <c r="U197" s="525"/>
      <c r="V197" s="525"/>
      <c r="W197" s="525"/>
      <c r="X197" s="525"/>
      <c r="Y197" s="525"/>
      <c r="Z197" s="525"/>
      <c r="AA197" s="525"/>
      <c r="AB197" s="525"/>
      <c r="AC197" s="525"/>
      <c r="AD197" s="525"/>
      <c r="AE197" s="525"/>
    </row>
    <row r="198" spans="2:31" ht="15.75" customHeight="1" outlineLevel="1" x14ac:dyDescent="0.25">
      <c r="B198" s="37"/>
      <c r="C198" s="38"/>
      <c r="D198" s="39"/>
      <c r="E198" s="40"/>
      <c r="F198" s="40"/>
      <c r="G198" s="40"/>
      <c r="H198" s="40"/>
      <c r="I198" s="89"/>
      <c r="J198" s="90"/>
      <c r="K198" s="91"/>
      <c r="L198" s="40"/>
      <c r="M198" s="40"/>
      <c r="N198" s="40"/>
      <c r="O198" s="40"/>
      <c r="P198" s="40"/>
      <c r="Q198" s="40"/>
      <c r="S198" s="525"/>
      <c r="T198" s="525"/>
      <c r="U198" s="525"/>
      <c r="V198" s="525"/>
      <c r="W198" s="525"/>
      <c r="X198" s="525"/>
      <c r="Y198" s="525"/>
      <c r="Z198" s="525"/>
      <c r="AA198" s="525"/>
      <c r="AB198" s="525"/>
      <c r="AC198" s="525"/>
      <c r="AD198" s="525"/>
      <c r="AE198" s="525"/>
    </row>
    <row r="199" spans="2:31" ht="15.75" customHeight="1" outlineLevel="1" x14ac:dyDescent="0.25">
      <c r="B199" s="37"/>
      <c r="C199" s="42" t="s">
        <v>283</v>
      </c>
      <c r="D199" s="46" t="s">
        <v>25</v>
      </c>
      <c r="E199" s="40"/>
      <c r="F199" s="40"/>
      <c r="G199" s="40"/>
      <c r="H199" s="40"/>
      <c r="I199" s="92"/>
      <c r="J199" s="40"/>
      <c r="K199" s="93"/>
      <c r="L199" s="43">
        <v>7.4999999999999997E-3</v>
      </c>
      <c r="M199" s="43">
        <v>0.01</v>
      </c>
      <c r="N199" s="43">
        <v>1.2500000000000001E-2</v>
      </c>
      <c r="O199" s="43">
        <v>1.4999999999999999E-2</v>
      </c>
      <c r="P199" s="43">
        <v>1.7500000000000002E-2</v>
      </c>
      <c r="Q199" s="43">
        <v>0.02</v>
      </c>
      <c r="S199" s="525"/>
      <c r="T199" s="525"/>
      <c r="U199" s="525"/>
      <c r="V199" s="525"/>
      <c r="W199" s="525"/>
      <c r="X199" s="525"/>
      <c r="Y199" s="525"/>
      <c r="Z199" s="525"/>
      <c r="AA199" s="525"/>
      <c r="AB199" s="525"/>
      <c r="AC199" s="525"/>
      <c r="AD199" s="525"/>
      <c r="AE199" s="525"/>
    </row>
    <row r="200" spans="2:31" ht="15.75" customHeight="1" outlineLevel="1" x14ac:dyDescent="0.25">
      <c r="B200" s="37"/>
      <c r="C200" s="38"/>
      <c r="D200" s="39"/>
      <c r="E200" s="40"/>
      <c r="F200" s="40"/>
      <c r="G200" s="40"/>
      <c r="H200" s="40"/>
      <c r="I200" s="92"/>
      <c r="J200" s="40"/>
      <c r="K200" s="93"/>
      <c r="L200" s="40"/>
      <c r="M200" s="40"/>
      <c r="N200" s="40"/>
      <c r="O200" s="40"/>
      <c r="P200" s="40"/>
      <c r="Q200" s="40"/>
      <c r="S200" s="525"/>
      <c r="T200" s="525"/>
      <c r="U200" s="525"/>
      <c r="V200" s="525"/>
      <c r="W200" s="525"/>
      <c r="X200" s="525"/>
      <c r="Y200" s="525"/>
      <c r="Z200" s="525"/>
      <c r="AA200" s="525"/>
      <c r="AB200" s="525"/>
      <c r="AC200" s="525"/>
      <c r="AD200" s="525"/>
      <c r="AE200" s="525"/>
    </row>
    <row r="201" spans="2:31" ht="15.75" customHeight="1" outlineLevel="1" x14ac:dyDescent="0.25">
      <c r="B201" s="37"/>
      <c r="C201" s="28"/>
      <c r="D201" s="28"/>
      <c r="E201" s="28" t="s">
        <v>138</v>
      </c>
      <c r="F201" s="28" t="s">
        <v>138</v>
      </c>
      <c r="G201" s="28" t="s">
        <v>312</v>
      </c>
      <c r="H201" s="28" t="s">
        <v>5</v>
      </c>
      <c r="I201" s="94"/>
      <c r="J201" s="28"/>
      <c r="K201" s="95"/>
      <c r="L201" s="28"/>
      <c r="M201" s="28"/>
      <c r="N201" s="28"/>
      <c r="O201" s="28"/>
      <c r="P201" s="28"/>
      <c r="Q201" s="28"/>
      <c r="S201" s="525"/>
      <c r="T201" s="525"/>
      <c r="U201" s="525"/>
      <c r="V201" s="525"/>
      <c r="W201" s="525"/>
      <c r="X201" s="525"/>
      <c r="Y201" s="525"/>
      <c r="Z201" s="525"/>
      <c r="AA201" s="525"/>
      <c r="AB201" s="525"/>
      <c r="AC201" s="525"/>
      <c r="AD201" s="525"/>
      <c r="AE201" s="525"/>
    </row>
    <row r="202" spans="2:31" ht="15.75" customHeight="1" outlineLevel="1" x14ac:dyDescent="0.25">
      <c r="B202" s="37"/>
      <c r="C202" s="87" t="s">
        <v>155</v>
      </c>
      <c r="D202" s="87"/>
      <c r="E202" s="29" t="s">
        <v>27</v>
      </c>
      <c r="F202" s="29" t="s">
        <v>9</v>
      </c>
      <c r="G202" s="29" t="s">
        <v>311</v>
      </c>
      <c r="H202" s="29" t="s">
        <v>311</v>
      </c>
      <c r="I202" s="96"/>
      <c r="J202" s="29"/>
      <c r="K202" s="97"/>
      <c r="L202" s="29"/>
      <c r="M202" s="29"/>
      <c r="N202" s="29"/>
      <c r="O202" s="29"/>
      <c r="P202" s="29"/>
      <c r="Q202" s="29"/>
      <c r="S202" s="525"/>
      <c r="T202" s="525"/>
      <c r="U202" s="525"/>
      <c r="V202" s="525"/>
      <c r="W202" s="525"/>
      <c r="X202" s="525"/>
      <c r="Y202" s="525"/>
      <c r="Z202" s="525"/>
      <c r="AA202" s="525"/>
      <c r="AB202" s="525"/>
      <c r="AC202" s="525"/>
      <c r="AD202" s="525"/>
      <c r="AE202" s="525"/>
    </row>
    <row r="203" spans="2:31" ht="15.75" customHeight="1" outlineLevel="1" x14ac:dyDescent="0.25">
      <c r="B203" s="37"/>
      <c r="C203" s="88" t="str">
        <f>$C$37</f>
        <v>Revolver:</v>
      </c>
      <c r="D203" s="46"/>
      <c r="E203" s="104">
        <f>D50</f>
        <v>0.01</v>
      </c>
      <c r="F203" s="104">
        <f t="shared" ref="F203:F206" si="74">E50</f>
        <v>1.4999999999999999E-2</v>
      </c>
      <c r="G203" s="104"/>
      <c r="H203" s="104"/>
      <c r="I203" s="92"/>
      <c r="J203" s="40"/>
      <c r="K203" s="93"/>
      <c r="L203" s="101">
        <f>MAX($E203,L$199)+$F203</f>
        <v>2.5000000000000001E-2</v>
      </c>
      <c r="M203" s="101">
        <f t="shared" ref="M203:Q206" si="75">MAX($E203,M$199)+$F203</f>
        <v>2.5000000000000001E-2</v>
      </c>
      <c r="N203" s="101">
        <f t="shared" si="75"/>
        <v>2.75E-2</v>
      </c>
      <c r="O203" s="101">
        <f t="shared" si="75"/>
        <v>0.03</v>
      </c>
      <c r="P203" s="101">
        <f t="shared" si="75"/>
        <v>3.2500000000000001E-2</v>
      </c>
      <c r="Q203" s="101">
        <f t="shared" si="75"/>
        <v>3.5000000000000003E-2</v>
      </c>
      <c r="S203" s="525"/>
      <c r="T203" s="525"/>
      <c r="U203" s="525"/>
      <c r="V203" s="525"/>
      <c r="W203" s="525"/>
      <c r="X203" s="525"/>
      <c r="Y203" s="525"/>
      <c r="Z203" s="525"/>
      <c r="AA203" s="525"/>
      <c r="AB203" s="525"/>
      <c r="AC203" s="525"/>
      <c r="AD203" s="525"/>
      <c r="AE203" s="525"/>
    </row>
    <row r="204" spans="2:31" ht="15.75" customHeight="1" outlineLevel="1" x14ac:dyDescent="0.25">
      <c r="B204" s="37"/>
      <c r="C204" s="88" t="str">
        <f>$C$38</f>
        <v>Term Loan A:</v>
      </c>
      <c r="D204" s="46"/>
      <c r="E204" s="104">
        <f t="shared" ref="E204" si="76">D51</f>
        <v>1.4999999999999999E-2</v>
      </c>
      <c r="F204" s="104">
        <f t="shared" si="74"/>
        <v>0.03</v>
      </c>
      <c r="G204" s="104"/>
      <c r="H204" s="104"/>
      <c r="I204" s="92"/>
      <c r="J204" s="40"/>
      <c r="K204" s="93"/>
      <c r="L204" s="101">
        <f t="shared" ref="L204:L206" si="77">MAX($E204,L$199)+$F204</f>
        <v>4.4999999999999998E-2</v>
      </c>
      <c r="M204" s="101">
        <f t="shared" si="75"/>
        <v>4.4999999999999998E-2</v>
      </c>
      <c r="N204" s="101">
        <f t="shared" si="75"/>
        <v>4.4999999999999998E-2</v>
      </c>
      <c r="O204" s="101">
        <f t="shared" si="75"/>
        <v>4.4999999999999998E-2</v>
      </c>
      <c r="P204" s="101">
        <f t="shared" si="75"/>
        <v>4.7500000000000001E-2</v>
      </c>
      <c r="Q204" s="101">
        <f t="shared" si="75"/>
        <v>0.05</v>
      </c>
      <c r="S204" s="525"/>
      <c r="T204" s="525"/>
      <c r="U204" s="525"/>
      <c r="V204" s="525"/>
      <c r="W204" s="525"/>
      <c r="X204" s="525"/>
      <c r="Y204" s="525"/>
      <c r="Z204" s="525"/>
      <c r="AA204" s="525"/>
      <c r="AB204" s="525"/>
      <c r="AC204" s="525"/>
      <c r="AD204" s="525"/>
      <c r="AE204" s="525"/>
    </row>
    <row r="205" spans="2:31" ht="15.75" customHeight="1" outlineLevel="1" x14ac:dyDescent="0.25">
      <c r="B205" s="37"/>
      <c r="C205" s="88" t="str">
        <f>$C$39</f>
        <v>Term Loan B:</v>
      </c>
      <c r="D205" s="46"/>
      <c r="E205" s="104">
        <f t="shared" ref="E205" si="78">D52</f>
        <v>0.02</v>
      </c>
      <c r="F205" s="104">
        <f t="shared" si="74"/>
        <v>3.5000000000000003E-2</v>
      </c>
      <c r="G205" s="104"/>
      <c r="H205" s="104"/>
      <c r="I205" s="92"/>
      <c r="J205" s="40"/>
      <c r="K205" s="93"/>
      <c r="L205" s="101">
        <f t="shared" si="77"/>
        <v>5.5000000000000007E-2</v>
      </c>
      <c r="M205" s="101">
        <f t="shared" si="75"/>
        <v>5.5000000000000007E-2</v>
      </c>
      <c r="N205" s="101">
        <f t="shared" si="75"/>
        <v>5.5000000000000007E-2</v>
      </c>
      <c r="O205" s="101">
        <f t="shared" si="75"/>
        <v>5.5000000000000007E-2</v>
      </c>
      <c r="P205" s="101">
        <f t="shared" si="75"/>
        <v>5.5000000000000007E-2</v>
      </c>
      <c r="Q205" s="101">
        <f t="shared" si="75"/>
        <v>5.5000000000000007E-2</v>
      </c>
      <c r="S205" s="525"/>
      <c r="T205" s="525"/>
      <c r="U205" s="525"/>
      <c r="V205" s="525"/>
      <c r="W205" s="525"/>
      <c r="X205" s="525"/>
      <c r="Y205" s="525"/>
      <c r="Z205" s="525"/>
      <c r="AA205" s="525"/>
      <c r="AB205" s="525"/>
      <c r="AC205" s="525"/>
      <c r="AD205" s="525"/>
      <c r="AE205" s="525"/>
    </row>
    <row r="206" spans="2:31" ht="15.75" customHeight="1" outlineLevel="1" x14ac:dyDescent="0.25">
      <c r="B206" s="37"/>
      <c r="C206" s="88" t="str">
        <f>$C$40</f>
        <v>Senior Unsecured Notes:</v>
      </c>
      <c r="D206" s="46"/>
      <c r="E206" s="104">
        <f t="shared" ref="E206" si="79">D53</f>
        <v>0.02</v>
      </c>
      <c r="F206" s="104">
        <f t="shared" si="74"/>
        <v>5.5E-2</v>
      </c>
      <c r="I206" s="148"/>
      <c r="J206" s="128"/>
      <c r="K206" s="149"/>
      <c r="L206" s="101">
        <f t="shared" si="77"/>
        <v>7.4999999999999997E-2</v>
      </c>
      <c r="M206" s="101">
        <f t="shared" si="75"/>
        <v>7.4999999999999997E-2</v>
      </c>
      <c r="N206" s="101">
        <f t="shared" si="75"/>
        <v>7.4999999999999997E-2</v>
      </c>
      <c r="O206" s="101">
        <f t="shared" si="75"/>
        <v>7.4999999999999997E-2</v>
      </c>
      <c r="P206" s="101">
        <f t="shared" si="75"/>
        <v>7.4999999999999997E-2</v>
      </c>
      <c r="Q206" s="101">
        <f t="shared" si="75"/>
        <v>7.4999999999999997E-2</v>
      </c>
      <c r="S206" s="525"/>
      <c r="T206" s="526"/>
      <c r="U206" s="525"/>
      <c r="V206" s="525"/>
      <c r="W206" s="525"/>
      <c r="X206" s="525"/>
      <c r="Y206" s="525"/>
      <c r="Z206" s="525"/>
      <c r="AA206" s="525"/>
      <c r="AB206" s="525"/>
      <c r="AC206" s="525"/>
      <c r="AD206" s="525"/>
      <c r="AE206" s="525"/>
    </row>
    <row r="207" spans="2:31" ht="15.75" customHeight="1" outlineLevel="1" x14ac:dyDescent="0.25">
      <c r="B207" s="37"/>
      <c r="C207" s="88" t="str">
        <f>$C$41</f>
        <v>Subordinated Notes:</v>
      </c>
      <c r="D207" s="46"/>
      <c r="E207" s="104"/>
      <c r="F207" s="104"/>
      <c r="G207" s="104">
        <f>F54</f>
        <v>0.06</v>
      </c>
      <c r="H207" s="104">
        <f t="shared" ref="H207:H208" si="80">G54</f>
        <v>0.02</v>
      </c>
      <c r="I207" s="92"/>
      <c r="J207" s="40"/>
      <c r="K207" s="93"/>
      <c r="L207" s="101">
        <f>$G207+$H207</f>
        <v>0.08</v>
      </c>
      <c r="M207" s="101">
        <f t="shared" ref="M207:Q208" si="81">$G207+$H207</f>
        <v>0.08</v>
      </c>
      <c r="N207" s="101">
        <f t="shared" si="81"/>
        <v>0.08</v>
      </c>
      <c r="O207" s="101">
        <f t="shared" si="81"/>
        <v>0.08</v>
      </c>
      <c r="P207" s="101">
        <f t="shared" si="81"/>
        <v>0.08</v>
      </c>
      <c r="Q207" s="101">
        <f t="shared" si="81"/>
        <v>0.08</v>
      </c>
      <c r="S207" s="525"/>
      <c r="T207" s="525"/>
      <c r="U207" s="525"/>
      <c r="V207" s="525"/>
      <c r="W207" s="525"/>
      <c r="X207" s="525"/>
      <c r="Y207" s="525"/>
      <c r="Z207" s="525"/>
      <c r="AA207" s="525"/>
      <c r="AB207" s="525"/>
      <c r="AC207" s="525"/>
      <c r="AD207" s="525"/>
      <c r="AE207" s="525"/>
    </row>
    <row r="208" spans="2:31" ht="15.75" customHeight="1" outlineLevel="1" x14ac:dyDescent="0.25">
      <c r="B208" s="37"/>
      <c r="C208" s="88" t="str">
        <f>$C$42</f>
        <v>Mezzanine:</v>
      </c>
      <c r="D208" s="46"/>
      <c r="E208" s="104"/>
      <c r="F208" s="104"/>
      <c r="G208" s="104">
        <f t="shared" ref="G208" si="82">F55</f>
        <v>0.05</v>
      </c>
      <c r="H208" s="104">
        <f t="shared" si="80"/>
        <v>7.0000000000000007E-2</v>
      </c>
      <c r="I208" s="92"/>
      <c r="J208" s="40"/>
      <c r="K208" s="93"/>
      <c r="L208" s="101">
        <f t="shared" ref="L208" si="83">$G208+$H208</f>
        <v>0.12000000000000001</v>
      </c>
      <c r="M208" s="101">
        <f t="shared" si="81"/>
        <v>0.12000000000000001</v>
      </c>
      <c r="N208" s="101">
        <f t="shared" si="81"/>
        <v>0.12000000000000001</v>
      </c>
      <c r="O208" s="101">
        <f t="shared" si="81"/>
        <v>0.12000000000000001</v>
      </c>
      <c r="P208" s="101">
        <f t="shared" si="81"/>
        <v>0.12000000000000001</v>
      </c>
      <c r="Q208" s="101">
        <f t="shared" si="81"/>
        <v>0.12000000000000001</v>
      </c>
      <c r="S208" s="525"/>
      <c r="T208" s="525"/>
      <c r="U208" s="525"/>
      <c r="V208" s="525"/>
      <c r="W208" s="525"/>
      <c r="X208" s="525"/>
      <c r="Y208" s="525"/>
      <c r="Z208" s="525"/>
      <c r="AA208" s="525"/>
      <c r="AB208" s="525"/>
      <c r="AC208" s="525"/>
      <c r="AD208" s="525"/>
      <c r="AE208" s="525"/>
    </row>
    <row r="209" spans="2:31" ht="15.75" customHeight="1" outlineLevel="1" x14ac:dyDescent="0.25">
      <c r="B209" s="37"/>
      <c r="C209" s="88" t="s">
        <v>154</v>
      </c>
      <c r="D209" s="46"/>
      <c r="E209" s="104"/>
      <c r="F209" s="104">
        <f>E56</f>
        <v>5.0000000000000001E-3</v>
      </c>
      <c r="H209" s="104"/>
      <c r="I209" s="92"/>
      <c r="J209" s="40"/>
      <c r="K209" s="93"/>
      <c r="L209" s="101">
        <f>$F209+L199</f>
        <v>1.2500000000000001E-2</v>
      </c>
      <c r="M209" s="101">
        <f t="shared" ref="M209:Q209" si="84">$F209+M199</f>
        <v>1.4999999999999999E-2</v>
      </c>
      <c r="N209" s="101">
        <f t="shared" si="84"/>
        <v>1.7500000000000002E-2</v>
      </c>
      <c r="O209" s="101">
        <f t="shared" si="84"/>
        <v>0.02</v>
      </c>
      <c r="P209" s="101">
        <f t="shared" si="84"/>
        <v>2.2500000000000003E-2</v>
      </c>
      <c r="Q209" s="101">
        <f t="shared" si="84"/>
        <v>2.5000000000000001E-2</v>
      </c>
      <c r="S209" s="525"/>
      <c r="T209" s="526"/>
      <c r="U209" s="525"/>
      <c r="V209" s="525"/>
      <c r="W209" s="525"/>
      <c r="X209" s="525"/>
      <c r="Y209" s="525"/>
      <c r="Z209" s="525"/>
      <c r="AA209" s="525"/>
      <c r="AB209" s="525"/>
      <c r="AC209" s="525"/>
      <c r="AD209" s="525"/>
      <c r="AE209" s="525"/>
    </row>
    <row r="210" spans="2:31" ht="15.75" customHeight="1" outlineLevel="1" x14ac:dyDescent="0.25">
      <c r="B210" s="37"/>
      <c r="C210" s="42"/>
      <c r="D210" s="39"/>
      <c r="E210" s="40"/>
      <c r="F210" s="40"/>
      <c r="G210" s="40"/>
      <c r="H210" s="40"/>
      <c r="I210" s="92"/>
      <c r="J210" s="40"/>
      <c r="K210" s="93"/>
      <c r="L210" s="40"/>
      <c r="M210" s="40"/>
      <c r="N210" s="40"/>
      <c r="O210" s="40"/>
      <c r="P210" s="40"/>
      <c r="Q210" s="40"/>
      <c r="S210" s="525"/>
      <c r="T210" s="526"/>
      <c r="U210" s="525"/>
      <c r="V210" s="525"/>
      <c r="W210" s="525"/>
      <c r="X210" s="525"/>
      <c r="Y210" s="525"/>
      <c r="Z210" s="525"/>
      <c r="AA210" s="525"/>
      <c r="AB210" s="525"/>
      <c r="AC210" s="525"/>
      <c r="AD210" s="525"/>
      <c r="AE210" s="525"/>
    </row>
    <row r="211" spans="2:31" ht="15.75" customHeight="1" outlineLevel="1" x14ac:dyDescent="0.25">
      <c r="B211" s="37"/>
      <c r="C211" s="436" t="s">
        <v>290</v>
      </c>
      <c r="D211" s="436"/>
      <c r="E211" s="436"/>
      <c r="F211" s="436"/>
      <c r="G211" s="436"/>
      <c r="H211" s="436"/>
      <c r="I211" s="437"/>
      <c r="J211" s="436"/>
      <c r="K211" s="438"/>
      <c r="L211" s="436"/>
      <c r="M211" s="436"/>
      <c r="N211" s="436"/>
      <c r="O211" s="436"/>
      <c r="P211" s="436"/>
      <c r="Q211" s="436"/>
      <c r="S211" s="525"/>
      <c r="T211" s="525"/>
      <c r="U211" s="525"/>
      <c r="V211" s="525"/>
      <c r="W211" s="525"/>
      <c r="X211" s="525"/>
      <c r="Y211" s="525"/>
      <c r="Z211" s="525"/>
      <c r="AA211" s="525"/>
      <c r="AB211" s="525"/>
      <c r="AC211" s="525"/>
      <c r="AD211" s="525"/>
      <c r="AE211" s="525"/>
    </row>
    <row r="212" spans="2:31" ht="15.75" customHeight="1" outlineLevel="1" x14ac:dyDescent="0.25">
      <c r="B212" s="37"/>
      <c r="C212" s="88" t="str">
        <f>$C$203</f>
        <v>Revolver:</v>
      </c>
      <c r="D212" s="423"/>
      <c r="E212" s="416"/>
      <c r="F212" s="416"/>
      <c r="G212" s="416"/>
      <c r="H212" s="416"/>
      <c r="I212" s="417"/>
      <c r="J212" s="416"/>
      <c r="K212" s="418"/>
      <c r="L212" s="271">
        <f t="shared" ref="L212:L217" si="85">IF(Circ_Ref,AVERAGE(K243,L243),K243)*L203*Post_Txn_Stub</f>
        <v>0</v>
      </c>
      <c r="M212" s="271">
        <f t="shared" ref="M212:Q217" si="86">IF(Circ_Ref,AVERAGE(L243,M243),L243)*M203</f>
        <v>0.76439573642598424</v>
      </c>
      <c r="N212" s="271">
        <f t="shared" si="86"/>
        <v>0.56699554229390059</v>
      </c>
      <c r="O212" s="271">
        <f t="shared" si="86"/>
        <v>0.18123508121355433</v>
      </c>
      <c r="P212" s="271">
        <f t="shared" si="86"/>
        <v>0</v>
      </c>
      <c r="Q212" s="271">
        <f t="shared" si="86"/>
        <v>0</v>
      </c>
      <c r="S212" s="525"/>
      <c r="T212" s="525"/>
      <c r="U212" s="525"/>
      <c r="V212" s="525"/>
      <c r="W212" s="525"/>
      <c r="X212" s="525"/>
      <c r="Y212" s="525"/>
      <c r="Z212" s="525"/>
      <c r="AA212" s="525"/>
      <c r="AB212" s="525"/>
      <c r="AC212" s="525"/>
      <c r="AD212" s="525"/>
      <c r="AE212" s="525"/>
    </row>
    <row r="213" spans="2:31" ht="15.75" customHeight="1" outlineLevel="1" x14ac:dyDescent="0.25">
      <c r="B213" s="37"/>
      <c r="C213" s="88" t="str">
        <f>$C$204</f>
        <v>Term Loan A:</v>
      </c>
      <c r="D213" s="423"/>
      <c r="E213" s="416"/>
      <c r="F213" s="416"/>
      <c r="G213" s="416"/>
      <c r="H213" s="416"/>
      <c r="I213" s="417"/>
      <c r="J213" s="416"/>
      <c r="K213" s="418"/>
      <c r="L213" s="47">
        <f t="shared" si="85"/>
        <v>3.3603904109589053</v>
      </c>
      <c r="M213" s="47">
        <f t="shared" si="86"/>
        <v>13.292210958904116</v>
      </c>
      <c r="N213" s="47">
        <f t="shared" si="86"/>
        <v>11.929385958904115</v>
      </c>
      <c r="O213" s="47">
        <f t="shared" si="86"/>
        <v>10.566560958904114</v>
      </c>
      <c r="P213" s="47">
        <f t="shared" si="86"/>
        <v>9.35149600870513</v>
      </c>
      <c r="Q213" s="47">
        <f t="shared" si="86"/>
        <v>6.1525484890169331</v>
      </c>
      <c r="S213" s="525"/>
      <c r="T213" s="526"/>
      <c r="U213" s="525"/>
      <c r="V213" s="525"/>
      <c r="W213" s="525"/>
      <c r="X213" s="525"/>
      <c r="Y213" s="525"/>
      <c r="Z213" s="525"/>
      <c r="AA213" s="525"/>
      <c r="AB213" s="525"/>
      <c r="AC213" s="525"/>
      <c r="AD213" s="525"/>
      <c r="AE213" s="525"/>
    </row>
    <row r="214" spans="2:31" ht="15.75" customHeight="1" outlineLevel="1" x14ac:dyDescent="0.25">
      <c r="B214" s="37"/>
      <c r="C214" s="88" t="str">
        <f>$C$205</f>
        <v>Term Loan B:</v>
      </c>
      <c r="D214" s="423"/>
      <c r="E214" s="416"/>
      <c r="F214" s="416"/>
      <c r="G214" s="416"/>
      <c r="H214" s="416"/>
      <c r="I214" s="417"/>
      <c r="J214" s="416"/>
      <c r="K214" s="418"/>
      <c r="L214" s="47">
        <f t="shared" si="85"/>
        <v>4.1071438356164407</v>
      </c>
      <c r="M214" s="47">
        <f t="shared" si="86"/>
        <v>16.615678561643847</v>
      </c>
      <c r="N214" s="47">
        <f t="shared" si="86"/>
        <v>16.449111061643844</v>
      </c>
      <c r="O214" s="47">
        <f t="shared" si="86"/>
        <v>16.282543561643845</v>
      </c>
      <c r="P214" s="47">
        <f t="shared" si="86"/>
        <v>15.905494758464476</v>
      </c>
      <c r="Q214" s="47">
        <f t="shared" si="86"/>
        <v>14.541642422383978</v>
      </c>
      <c r="S214" s="525"/>
      <c r="T214" s="526"/>
      <c r="U214" s="525"/>
      <c r="V214" s="525"/>
      <c r="W214" s="525"/>
      <c r="X214" s="525"/>
      <c r="Y214" s="525"/>
      <c r="Z214" s="525"/>
      <c r="AA214" s="525"/>
      <c r="AB214" s="525"/>
      <c r="AC214" s="525"/>
      <c r="AD214" s="525"/>
      <c r="AE214" s="525"/>
    </row>
    <row r="215" spans="2:31" ht="15.75" customHeight="1" outlineLevel="1" x14ac:dyDescent="0.25">
      <c r="B215" s="37"/>
      <c r="C215" s="88" t="str">
        <f>$C$206</f>
        <v>Senior Unsecured Notes:</v>
      </c>
      <c r="D215" s="423"/>
      <c r="E215" s="416"/>
      <c r="F215" s="416"/>
      <c r="G215" s="416"/>
      <c r="H215" s="416"/>
      <c r="I215" s="417"/>
      <c r="J215" s="416"/>
      <c r="K215" s="418"/>
      <c r="L215" s="47">
        <f t="shared" si="85"/>
        <v>3.7337671232876724</v>
      </c>
      <c r="M215" s="47">
        <f t="shared" si="86"/>
        <v>15.142500000000005</v>
      </c>
      <c r="N215" s="47">
        <f t="shared" si="86"/>
        <v>15.142500000000005</v>
      </c>
      <c r="O215" s="47">
        <f t="shared" si="86"/>
        <v>15.142500000000005</v>
      </c>
      <c r="P215" s="47">
        <f t="shared" si="86"/>
        <v>15.142500000000005</v>
      </c>
      <c r="Q215" s="47">
        <f t="shared" si="86"/>
        <v>15.142500000000005</v>
      </c>
      <c r="S215" s="525"/>
      <c r="T215" s="526"/>
      <c r="U215" s="525"/>
      <c r="V215" s="525"/>
      <c r="W215" s="525"/>
      <c r="X215" s="525"/>
      <c r="Y215" s="525"/>
      <c r="Z215" s="525"/>
      <c r="AA215" s="525"/>
      <c r="AB215" s="525"/>
      <c r="AC215" s="525"/>
      <c r="AD215" s="525"/>
      <c r="AE215" s="525"/>
    </row>
    <row r="216" spans="2:31" ht="15.75" customHeight="1" outlineLevel="1" x14ac:dyDescent="0.25">
      <c r="B216" s="37"/>
      <c r="C216" s="88" t="str">
        <f>$C$207</f>
        <v>Subordinated Notes:</v>
      </c>
      <c r="D216" s="423"/>
      <c r="E216" s="416"/>
      <c r="F216" s="416"/>
      <c r="G216" s="416"/>
      <c r="H216" s="416"/>
      <c r="I216" s="417"/>
      <c r="J216" s="416"/>
      <c r="K216" s="418"/>
      <c r="L216" s="47">
        <f t="shared" si="85"/>
        <v>3.9826849315068511</v>
      </c>
      <c r="M216" s="47">
        <f t="shared" si="86"/>
        <v>16.231653698630144</v>
      </c>
      <c r="N216" s="47">
        <f t="shared" si="86"/>
        <v>16.556286772602746</v>
      </c>
      <c r="O216" s="47">
        <f t="shared" si="86"/>
        <v>16.887412508054801</v>
      </c>
      <c r="P216" s="47">
        <f t="shared" si="86"/>
        <v>17.2251607582159</v>
      </c>
      <c r="Q216" s="47">
        <f t="shared" si="86"/>
        <v>17.569663973380216</v>
      </c>
      <c r="S216" s="525"/>
      <c r="T216" s="526"/>
      <c r="U216" s="525"/>
      <c r="V216" s="525"/>
      <c r="W216" s="525"/>
      <c r="X216" s="525"/>
      <c r="Y216" s="525"/>
      <c r="Z216" s="525"/>
      <c r="AA216" s="525"/>
      <c r="AB216" s="525"/>
      <c r="AC216" s="525"/>
      <c r="AD216" s="525"/>
      <c r="AE216" s="525"/>
    </row>
    <row r="217" spans="2:31" ht="15.75" customHeight="1" outlineLevel="1" x14ac:dyDescent="0.25">
      <c r="B217" s="37"/>
      <c r="C217" s="88" t="str">
        <f>$C$208</f>
        <v>Mezzanine:</v>
      </c>
      <c r="D217" s="423"/>
      <c r="E217" s="416"/>
      <c r="F217" s="416"/>
      <c r="G217" s="416"/>
      <c r="H217" s="416"/>
      <c r="I217" s="417"/>
      <c r="J217" s="416"/>
      <c r="K217" s="418"/>
      <c r="L217" s="47">
        <f t="shared" si="85"/>
        <v>5.9740273972602767</v>
      </c>
      <c r="M217" s="47">
        <f t="shared" si="86"/>
        <v>24.646181917808232</v>
      </c>
      <c r="N217" s="47">
        <f t="shared" si="86"/>
        <v>26.37141465205481</v>
      </c>
      <c r="O217" s="47">
        <f t="shared" si="86"/>
        <v>28.217413677698644</v>
      </c>
      <c r="P217" s="47">
        <f t="shared" si="86"/>
        <v>30.192632635137553</v>
      </c>
      <c r="Q217" s="47">
        <f t="shared" si="86"/>
        <v>32.30611691959718</v>
      </c>
      <c r="S217" s="525"/>
      <c r="T217" s="526"/>
      <c r="U217" s="525"/>
      <c r="V217" s="525"/>
      <c r="W217" s="525"/>
      <c r="X217" s="525"/>
      <c r="Y217" s="525"/>
      <c r="Z217" s="525"/>
      <c r="AA217" s="525"/>
      <c r="AB217" s="525"/>
      <c r="AC217" s="525"/>
      <c r="AD217" s="525"/>
      <c r="AE217" s="525"/>
    </row>
    <row r="218" spans="2:31" ht="15.75" customHeight="1" outlineLevel="1" x14ac:dyDescent="0.25">
      <c r="B218" s="37"/>
      <c r="C218" s="136" t="str">
        <f>$C$209</f>
        <v>Cash:</v>
      </c>
      <c r="D218" s="425"/>
      <c r="E218" s="439"/>
      <c r="F218" s="439"/>
      <c r="G218" s="439"/>
      <c r="H218" s="439"/>
      <c r="I218" s="440"/>
      <c r="J218" s="439"/>
      <c r="K218" s="441"/>
      <c r="L218" s="351">
        <f>-IF(Circ_Ref,AVERAGE(K116,L116),K116)*L209*Post_Txn_Stub</f>
        <v>0</v>
      </c>
      <c r="M218" s="351">
        <f>-IF(Circ_Ref,AVERAGE(L116,M116),L116)*M209</f>
        <v>-0.5756664681665068</v>
      </c>
      <c r="N218" s="351">
        <f>-IF(Circ_Ref,AVERAGE(M116,N116),M116)*N209</f>
        <v>-0.7573903952617842</v>
      </c>
      <c r="O218" s="351">
        <f>-IF(Circ_Ref,AVERAGE(N116,O116),N116)*O209</f>
        <v>-0.90322148714899886</v>
      </c>
      <c r="P218" s="351">
        <f>-IF(Circ_Ref,AVERAGE(O116,P116),O116)*P209</f>
        <v>-1.1800041345922769</v>
      </c>
      <c r="Q218" s="351">
        <f>-IF(Circ_Ref,AVERAGE(P116,Q116),P116)*Q209</f>
        <v>-1.8417516985759912</v>
      </c>
      <c r="S218" s="525"/>
      <c r="T218" s="525"/>
      <c r="U218" s="525"/>
      <c r="V218" s="525"/>
      <c r="W218" s="525"/>
      <c r="X218" s="525"/>
      <c r="Y218" s="525"/>
      <c r="Z218" s="525"/>
      <c r="AA218" s="525"/>
      <c r="AB218" s="525"/>
      <c r="AC218" s="525"/>
      <c r="AD218" s="525"/>
      <c r="AE218" s="525"/>
    </row>
    <row r="219" spans="2:31" ht="15.75" customHeight="1" outlineLevel="1" x14ac:dyDescent="0.25">
      <c r="B219" s="37"/>
      <c r="C219" s="413" t="s">
        <v>291</v>
      </c>
      <c r="D219" s="423"/>
      <c r="E219" s="416"/>
      <c r="F219" s="416"/>
      <c r="G219" s="416"/>
      <c r="H219" s="416"/>
      <c r="I219" s="417"/>
      <c r="J219" s="416"/>
      <c r="K219" s="418"/>
      <c r="L219" s="112">
        <f>SUM(L212:L218)</f>
        <v>21.158013698630146</v>
      </c>
      <c r="M219" s="112">
        <f t="shared" ref="M219:Q219" si="87">SUM(M212:M218)</f>
        <v>86.116954405245821</v>
      </c>
      <c r="N219" s="112">
        <f t="shared" si="87"/>
        <v>86.258303592237638</v>
      </c>
      <c r="O219" s="112">
        <f t="shared" si="87"/>
        <v>86.374444300365965</v>
      </c>
      <c r="P219" s="112">
        <f t="shared" si="87"/>
        <v>86.637280025930778</v>
      </c>
      <c r="Q219" s="112">
        <f t="shared" si="87"/>
        <v>83.87072010580232</v>
      </c>
      <c r="S219" s="525"/>
      <c r="T219" s="525"/>
      <c r="U219" s="525"/>
      <c r="V219" s="525"/>
      <c r="W219" s="525"/>
      <c r="X219" s="525"/>
      <c r="Y219" s="525"/>
      <c r="Z219" s="525"/>
      <c r="AA219" s="525"/>
      <c r="AB219" s="525"/>
      <c r="AC219" s="525"/>
      <c r="AD219" s="525"/>
      <c r="AE219" s="525"/>
    </row>
    <row r="220" spans="2:31" ht="15.75" customHeight="1" outlineLevel="1" x14ac:dyDescent="0.25">
      <c r="B220" s="37"/>
      <c r="C220" s="42"/>
      <c r="D220" s="415"/>
      <c r="E220" s="416"/>
      <c r="F220" s="416"/>
      <c r="G220" s="416"/>
      <c r="H220" s="416"/>
      <c r="I220" s="417"/>
      <c r="J220" s="416"/>
      <c r="K220" s="418"/>
      <c r="L220" s="416"/>
      <c r="M220" s="416"/>
      <c r="N220" s="416"/>
      <c r="O220" s="416"/>
      <c r="P220" s="416"/>
      <c r="Q220" s="416"/>
      <c r="S220" s="525"/>
      <c r="T220" s="525"/>
      <c r="U220" s="525"/>
      <c r="V220" s="525"/>
      <c r="W220" s="525"/>
      <c r="X220" s="525"/>
      <c r="Y220" s="525"/>
      <c r="Z220" s="525"/>
      <c r="AA220" s="525"/>
      <c r="AB220" s="525"/>
      <c r="AC220" s="525"/>
      <c r="AD220" s="525"/>
      <c r="AE220" s="525"/>
    </row>
    <row r="221" spans="2:31" ht="15.75" customHeight="1" outlineLevel="1" x14ac:dyDescent="0.25">
      <c r="B221" s="37"/>
      <c r="C221" s="88" t="str">
        <f>"PIK Interest - "&amp;$C$207</f>
        <v>PIK Interest - Subordinated Notes:</v>
      </c>
      <c r="D221" s="415"/>
      <c r="E221" s="416"/>
      <c r="F221" s="416"/>
      <c r="G221" s="416"/>
      <c r="H221" s="416"/>
      <c r="I221" s="417"/>
      <c r="J221" s="416"/>
      <c r="K221" s="418"/>
      <c r="L221" s="47">
        <f>IF(Circ_Ref,AVERAGE(K247,L247),K247)*$H207*Post_Txn_Stub</f>
        <v>0.99567123287671278</v>
      </c>
      <c r="M221" s="47">
        <f t="shared" ref="M221:Q222" si="88">IF(Circ_Ref,AVERAGE(L247,M247),L247)*$H207</f>
        <v>4.0579134246575359</v>
      </c>
      <c r="N221" s="47">
        <f t="shared" si="88"/>
        <v>4.1390716931506866</v>
      </c>
      <c r="O221" s="47">
        <f t="shared" si="88"/>
        <v>4.2218531270137003</v>
      </c>
      <c r="P221" s="47">
        <f t="shared" si="88"/>
        <v>4.3062901895539749</v>
      </c>
      <c r="Q221" s="47">
        <f t="shared" si="88"/>
        <v>4.3924159933450539</v>
      </c>
      <c r="S221" s="525"/>
      <c r="T221" s="525"/>
      <c r="U221" s="525"/>
      <c r="V221" s="525"/>
      <c r="W221" s="525"/>
      <c r="X221" s="525"/>
      <c r="Y221" s="525"/>
      <c r="Z221" s="525"/>
      <c r="AA221" s="525"/>
      <c r="AB221" s="525"/>
      <c r="AC221" s="525"/>
      <c r="AD221" s="525"/>
      <c r="AE221" s="525"/>
    </row>
    <row r="222" spans="2:31" ht="15.75" customHeight="1" outlineLevel="1" x14ac:dyDescent="0.25">
      <c r="B222" s="37"/>
      <c r="C222" s="88" t="str">
        <f>"PIK Interest - "&amp;$C$208</f>
        <v>PIK Interest - Mezzanine:</v>
      </c>
      <c r="D222" s="415"/>
      <c r="E222" s="416"/>
      <c r="F222" s="416"/>
      <c r="G222" s="416"/>
      <c r="H222" s="416"/>
      <c r="I222" s="417"/>
      <c r="J222" s="416"/>
      <c r="K222" s="418"/>
      <c r="L222" s="351">
        <f>IF(Circ_Ref,AVERAGE(K248,L248),K248)*$H208*Post_Txn_Stub</f>
        <v>3.4848493150684949</v>
      </c>
      <c r="M222" s="351">
        <f t="shared" si="88"/>
        <v>14.376939452054803</v>
      </c>
      <c r="N222" s="351">
        <f t="shared" si="88"/>
        <v>15.383325213698638</v>
      </c>
      <c r="O222" s="351">
        <f t="shared" si="88"/>
        <v>16.460157978657545</v>
      </c>
      <c r="P222" s="351">
        <f t="shared" si="88"/>
        <v>17.612369037163571</v>
      </c>
      <c r="Q222" s="351">
        <f t="shared" si="88"/>
        <v>18.845234869765022</v>
      </c>
      <c r="S222" s="525"/>
      <c r="T222" s="526"/>
      <c r="U222" s="525"/>
      <c r="V222" s="525"/>
      <c r="W222" s="525"/>
      <c r="X222" s="525"/>
      <c r="Y222" s="525"/>
      <c r="Z222" s="525"/>
      <c r="AA222" s="525"/>
      <c r="AB222" s="525"/>
      <c r="AC222" s="525"/>
      <c r="AD222" s="525"/>
      <c r="AE222" s="525"/>
    </row>
    <row r="223" spans="2:31" ht="15.75" customHeight="1" outlineLevel="1" x14ac:dyDescent="0.25">
      <c r="B223" s="37"/>
      <c r="C223" s="99" t="s">
        <v>305</v>
      </c>
      <c r="D223" s="462"/>
      <c r="E223" s="426"/>
      <c r="F223" s="426"/>
      <c r="G223" s="426"/>
      <c r="H223" s="426"/>
      <c r="I223" s="427"/>
      <c r="J223" s="426"/>
      <c r="K223" s="428"/>
      <c r="L223" s="112">
        <f>SUM(L221:L222)</f>
        <v>4.4805205479452077</v>
      </c>
      <c r="M223" s="112">
        <f t="shared" ref="M223:Q223" si="89">SUM(M221:M222)</f>
        <v>18.434852876712338</v>
      </c>
      <c r="N223" s="112">
        <f t="shared" si="89"/>
        <v>19.522396906849323</v>
      </c>
      <c r="O223" s="112">
        <f t="shared" si="89"/>
        <v>20.682011105671243</v>
      </c>
      <c r="P223" s="112">
        <f t="shared" si="89"/>
        <v>21.918659226717544</v>
      </c>
      <c r="Q223" s="112">
        <f t="shared" si="89"/>
        <v>23.237650863110076</v>
      </c>
      <c r="S223" s="525"/>
      <c r="T223" s="526"/>
      <c r="U223" s="525"/>
      <c r="V223" s="525"/>
      <c r="W223" s="525"/>
      <c r="X223" s="525"/>
      <c r="Y223" s="525"/>
      <c r="Z223" s="525"/>
      <c r="AA223" s="525"/>
      <c r="AB223" s="525"/>
      <c r="AC223" s="525"/>
      <c r="AD223" s="525"/>
      <c r="AE223" s="525"/>
    </row>
    <row r="224" spans="2:31" ht="15.75" customHeight="1" outlineLevel="1" x14ac:dyDescent="0.25">
      <c r="B224" s="37"/>
      <c r="C224" s="42"/>
      <c r="D224" s="415"/>
      <c r="E224" s="416"/>
      <c r="F224" s="416"/>
      <c r="G224" s="416"/>
      <c r="H224" s="416"/>
      <c r="I224" s="417"/>
      <c r="J224" s="416"/>
      <c r="K224" s="418"/>
      <c r="L224" s="416"/>
      <c r="M224" s="416"/>
      <c r="N224" s="416"/>
      <c r="O224" s="416"/>
      <c r="P224" s="416"/>
      <c r="Q224" s="416"/>
      <c r="S224" s="525"/>
      <c r="T224" s="525"/>
      <c r="U224" s="525"/>
      <c r="V224" s="525"/>
      <c r="W224" s="525"/>
      <c r="X224" s="525"/>
      <c r="Y224" s="525"/>
      <c r="Z224" s="525"/>
      <c r="AA224" s="525"/>
      <c r="AB224" s="525"/>
      <c r="AC224" s="525"/>
      <c r="AD224" s="525"/>
      <c r="AE224" s="525"/>
    </row>
    <row r="225" spans="2:31" ht="15.75" customHeight="1" outlineLevel="1" x14ac:dyDescent="0.25">
      <c r="B225" s="37"/>
      <c r="C225" s="436" t="s">
        <v>306</v>
      </c>
      <c r="D225" s="436"/>
      <c r="E225" s="436"/>
      <c r="F225" s="436"/>
      <c r="G225" s="436"/>
      <c r="H225" s="436"/>
      <c r="I225" s="437"/>
      <c r="J225" s="436"/>
      <c r="K225" s="438"/>
      <c r="L225" s="436"/>
      <c r="M225" s="436"/>
      <c r="N225" s="436"/>
      <c r="O225" s="436"/>
      <c r="P225" s="436"/>
      <c r="Q225" s="436"/>
      <c r="S225" s="525"/>
      <c r="T225" s="525"/>
      <c r="U225" s="525"/>
      <c r="V225" s="525"/>
      <c r="W225" s="525"/>
      <c r="X225" s="525"/>
      <c r="Y225" s="525"/>
      <c r="Z225" s="525"/>
      <c r="AA225" s="525"/>
      <c r="AB225" s="525"/>
      <c r="AC225" s="525"/>
      <c r="AD225" s="525"/>
      <c r="AE225" s="525"/>
    </row>
    <row r="226" spans="2:31" ht="15.75" customHeight="1" outlineLevel="1" x14ac:dyDescent="0.25">
      <c r="B226" s="37"/>
      <c r="C226" s="88" t="s">
        <v>307</v>
      </c>
      <c r="D226" s="415"/>
      <c r="E226" s="416"/>
      <c r="F226" s="416"/>
      <c r="G226" s="416"/>
      <c r="H226" s="416"/>
      <c r="I226" s="417"/>
      <c r="J226" s="416"/>
      <c r="K226" s="418"/>
      <c r="L226" s="47">
        <f>MAX(1-L230,0)*Max_Revolver*$J$50*Post_Txn_Stub</f>
        <v>0.24891780821917819</v>
      </c>
      <c r="M226" s="47">
        <f>MAX(1-M230,0)*Max_Revolver*$J$50</f>
        <v>0.8566208527148037</v>
      </c>
      <c r="N226" s="47">
        <f>MAX(1-N230,0)*Max_Revolver*$J$50</f>
        <v>0.90640990140110944</v>
      </c>
      <c r="O226" s="47">
        <f>MAX(1-O230,0)*Max_Revolver*$J$50</f>
        <v>0.97929415313107471</v>
      </c>
      <c r="P226" s="47">
        <f>MAX(1-P230,0)*Max_Revolver*$J$50</f>
        <v>1.0095000000000005</v>
      </c>
      <c r="Q226" s="47">
        <f>MAX(1-Q230,0)*Max_Revolver*$J$50</f>
        <v>1.0095000000000005</v>
      </c>
      <c r="S226" s="525"/>
      <c r="T226" s="525"/>
      <c r="U226" s="525"/>
      <c r="V226" s="525"/>
      <c r="W226" s="525"/>
      <c r="X226" s="525"/>
      <c r="Y226" s="525"/>
      <c r="Z226" s="525"/>
      <c r="AA226" s="525"/>
      <c r="AB226" s="525"/>
      <c r="AC226" s="525"/>
      <c r="AD226" s="525"/>
      <c r="AE226" s="525"/>
    </row>
    <row r="227" spans="2:31" ht="15.75" customHeight="1" outlineLevel="1" x14ac:dyDescent="0.25">
      <c r="B227" s="37"/>
      <c r="C227" s="88" t="s">
        <v>308</v>
      </c>
      <c r="D227" s="415"/>
      <c r="E227" s="416"/>
      <c r="F227" s="416"/>
      <c r="G227" s="416"/>
      <c r="H227" s="416"/>
      <c r="I227" s="417"/>
      <c r="J227" s="416"/>
      <c r="K227" s="418"/>
      <c r="L227" s="351">
        <f>MAX(L230-1,0)*Max_Revolver*$K$50*Post_Txn_Stub</f>
        <v>0</v>
      </c>
      <c r="M227" s="351">
        <f>MAX(M230-1,0)*Max_Revolver*$K$50</f>
        <v>0</v>
      </c>
      <c r="N227" s="351">
        <f>MAX(N230-1,0)*Max_Revolver*$K$50</f>
        <v>0</v>
      </c>
      <c r="O227" s="351">
        <f>MAX(O230-1,0)*Max_Revolver*$K$50</f>
        <v>0</v>
      </c>
      <c r="P227" s="351">
        <f>MAX(P230-1,0)*Max_Revolver*$K$50</f>
        <v>0</v>
      </c>
      <c r="Q227" s="351">
        <f>MAX(Q230-1,0)*Max_Revolver*$K$50</f>
        <v>0</v>
      </c>
      <c r="S227" s="525"/>
      <c r="T227" s="525"/>
      <c r="U227" s="525"/>
      <c r="V227" s="525"/>
      <c r="W227" s="525"/>
      <c r="X227" s="525"/>
      <c r="Y227" s="525"/>
      <c r="Z227" s="525"/>
      <c r="AA227" s="525"/>
      <c r="AB227" s="525"/>
      <c r="AC227" s="525"/>
      <c r="AD227" s="525"/>
      <c r="AE227" s="525"/>
    </row>
    <row r="228" spans="2:31" ht="15.75" customHeight="1" outlineLevel="1" x14ac:dyDescent="0.25">
      <c r="B228" s="37"/>
      <c r="C228" s="99" t="s">
        <v>309</v>
      </c>
      <c r="D228" s="465"/>
      <c r="E228" s="426"/>
      <c r="F228" s="426"/>
      <c r="G228" s="426"/>
      <c r="H228" s="426"/>
      <c r="I228" s="427"/>
      <c r="J228" s="426"/>
      <c r="K228" s="428"/>
      <c r="L228" s="112">
        <f>SUM(L226:L227)</f>
        <v>0.24891780821917819</v>
      </c>
      <c r="M228" s="112">
        <f t="shared" ref="M228:Q228" si="90">SUM(M226:M227)</f>
        <v>0.8566208527148037</v>
      </c>
      <c r="N228" s="112">
        <f t="shared" si="90"/>
        <v>0.90640990140110944</v>
      </c>
      <c r="O228" s="112">
        <f t="shared" si="90"/>
        <v>0.97929415313107471</v>
      </c>
      <c r="P228" s="112">
        <f t="shared" si="90"/>
        <v>1.0095000000000005</v>
      </c>
      <c r="Q228" s="112">
        <f t="shared" si="90"/>
        <v>1.0095000000000005</v>
      </c>
      <c r="S228" s="525"/>
      <c r="T228" s="525"/>
      <c r="U228" s="525"/>
      <c r="V228" s="525"/>
      <c r="W228" s="525"/>
      <c r="X228" s="525"/>
      <c r="Y228" s="525"/>
      <c r="Z228" s="525"/>
      <c r="AA228" s="525"/>
      <c r="AB228" s="525"/>
      <c r="AC228" s="525"/>
      <c r="AD228" s="525"/>
      <c r="AE228" s="525"/>
    </row>
    <row r="229" spans="2:31" ht="15.75" customHeight="1" outlineLevel="1" x14ac:dyDescent="0.25">
      <c r="B229" s="37"/>
      <c r="C229" s="42"/>
      <c r="D229" s="415"/>
      <c r="E229" s="416"/>
      <c r="F229" s="416"/>
      <c r="G229" s="416"/>
      <c r="H229" s="416"/>
      <c r="I229" s="417"/>
      <c r="J229" s="416"/>
      <c r="K229" s="418"/>
      <c r="L229" s="416"/>
      <c r="M229" s="416"/>
      <c r="N229" s="416"/>
      <c r="O229" s="416"/>
      <c r="P229" s="416"/>
      <c r="Q229" s="416"/>
      <c r="S229" s="525"/>
      <c r="T229" s="526"/>
      <c r="U229" s="525"/>
      <c r="V229" s="525"/>
      <c r="W229" s="525"/>
      <c r="X229" s="525"/>
      <c r="Y229" s="525"/>
      <c r="Z229" s="525"/>
      <c r="AA229" s="525"/>
      <c r="AB229" s="525"/>
      <c r="AC229" s="525"/>
      <c r="AD229" s="525"/>
      <c r="AE229" s="525"/>
    </row>
    <row r="230" spans="2:31" ht="15.75" customHeight="1" outlineLevel="1" x14ac:dyDescent="0.25">
      <c r="B230" s="37"/>
      <c r="C230" s="42" t="s">
        <v>310</v>
      </c>
      <c r="D230" s="415"/>
      <c r="E230" s="416"/>
      <c r="F230" s="416"/>
      <c r="G230" s="416"/>
      <c r="H230" s="416"/>
      <c r="I230" s="417"/>
      <c r="J230" s="416"/>
      <c r="K230" s="418"/>
      <c r="L230" s="466">
        <f t="shared" ref="L230:Q230" si="91">IF(Circ_Ref,AVERAGE(K243,L243),K243)/Max_Revolver</f>
        <v>0</v>
      </c>
      <c r="M230" s="174">
        <f t="shared" si="91"/>
        <v>0.15144046288776303</v>
      </c>
      <c r="N230" s="174">
        <f t="shared" si="91"/>
        <v>0.10211995898850022</v>
      </c>
      <c r="O230" s="174">
        <f t="shared" si="91"/>
        <v>2.9921591747326115E-2</v>
      </c>
      <c r="P230" s="174">
        <f t="shared" si="91"/>
        <v>0</v>
      </c>
      <c r="Q230" s="174">
        <f t="shared" si="91"/>
        <v>0</v>
      </c>
      <c r="S230" s="525"/>
      <c r="T230" s="526"/>
      <c r="U230" s="525"/>
      <c r="V230" s="525"/>
      <c r="W230" s="525"/>
      <c r="X230" s="525"/>
      <c r="Y230" s="525"/>
      <c r="Z230" s="525"/>
      <c r="AA230" s="525"/>
      <c r="AB230" s="525"/>
      <c r="AC230" s="525"/>
      <c r="AD230" s="525"/>
      <c r="AE230" s="525"/>
    </row>
    <row r="231" spans="2:31" ht="15.75" customHeight="1" outlineLevel="1" x14ac:dyDescent="0.25">
      <c r="B231" s="37"/>
      <c r="C231" s="42"/>
      <c r="D231" s="415"/>
      <c r="E231" s="416"/>
      <c r="F231" s="416"/>
      <c r="G231" s="416"/>
      <c r="H231" s="416"/>
      <c r="I231" s="417"/>
      <c r="J231" s="416"/>
      <c r="K231" s="418"/>
      <c r="L231" s="416"/>
      <c r="M231" s="416"/>
      <c r="N231" s="416"/>
      <c r="O231" s="416"/>
      <c r="P231" s="416"/>
      <c r="Q231" s="416"/>
      <c r="S231" s="525"/>
      <c r="T231" s="526"/>
      <c r="U231" s="525"/>
      <c r="V231" s="525"/>
      <c r="W231" s="525"/>
      <c r="X231" s="525"/>
      <c r="Y231" s="525"/>
      <c r="Z231" s="525"/>
      <c r="AA231" s="525"/>
      <c r="AB231" s="525"/>
      <c r="AC231" s="525"/>
      <c r="AD231" s="525"/>
      <c r="AE231" s="525"/>
    </row>
    <row r="232" spans="2:31" ht="15.75" customHeight="1" outlineLevel="1" x14ac:dyDescent="0.25">
      <c r="B232" s="37"/>
      <c r="C232" s="436" t="s">
        <v>20</v>
      </c>
      <c r="D232" s="436"/>
      <c r="E232" s="436"/>
      <c r="F232" s="436"/>
      <c r="G232" s="436"/>
      <c r="H232" s="436"/>
      <c r="I232" s="437"/>
      <c r="J232" s="436"/>
      <c r="K232" s="438"/>
      <c r="L232" s="436"/>
      <c r="M232" s="436"/>
      <c r="N232" s="436"/>
      <c r="O232" s="436"/>
      <c r="P232" s="436"/>
      <c r="Q232" s="436"/>
      <c r="S232" s="527" t="s">
        <v>397</v>
      </c>
      <c r="T232" s="536"/>
      <c r="U232" s="536"/>
      <c r="V232" s="536"/>
      <c r="W232" s="536"/>
      <c r="X232" s="536"/>
      <c r="Y232" s="536"/>
      <c r="Z232" s="536"/>
      <c r="AA232" s="536"/>
      <c r="AB232" s="536"/>
      <c r="AC232" s="521"/>
      <c r="AD232" s="521"/>
      <c r="AE232" s="525"/>
    </row>
    <row r="233" spans="2:31" ht="15.75" customHeight="1" outlineLevel="1" x14ac:dyDescent="0.25">
      <c r="B233" s="37"/>
      <c r="C233" s="419" t="s">
        <v>23</v>
      </c>
      <c r="D233" s="423"/>
      <c r="E233" s="416"/>
      <c r="F233" s="416"/>
      <c r="G233" s="416"/>
      <c r="H233" s="416"/>
      <c r="I233" s="417"/>
      <c r="J233" s="416"/>
      <c r="K233" s="418"/>
      <c r="L233" s="468">
        <f>L187</f>
        <v>0</v>
      </c>
      <c r="M233" s="469">
        <f t="shared" ref="M233:Q233" si="92">M187</f>
        <v>38.377764544433788</v>
      </c>
      <c r="N233" s="469">
        <f t="shared" si="92"/>
        <v>43.279451157816233</v>
      </c>
      <c r="O233" s="469">
        <f t="shared" si="92"/>
        <v>45.161074357449941</v>
      </c>
      <c r="P233" s="469">
        <f t="shared" si="92"/>
        <v>52.444628204101193</v>
      </c>
      <c r="Q233" s="469">
        <f t="shared" si="92"/>
        <v>73.670067943039641</v>
      </c>
      <c r="S233" s="521"/>
      <c r="T233" s="521"/>
      <c r="U233" s="521"/>
      <c r="V233" s="521"/>
      <c r="W233" s="521"/>
      <c r="X233" s="521"/>
      <c r="Y233" s="521"/>
      <c r="Z233" s="521"/>
      <c r="AA233" s="521"/>
      <c r="AB233" s="521"/>
      <c r="AC233" s="521"/>
      <c r="AD233" s="521"/>
      <c r="AE233" s="525"/>
    </row>
    <row r="234" spans="2:31" ht="15.75" customHeight="1" outlineLevel="1" x14ac:dyDescent="0.25">
      <c r="B234" s="37"/>
      <c r="C234" s="424" t="s">
        <v>289</v>
      </c>
      <c r="D234" s="423"/>
      <c r="E234" s="416"/>
      <c r="F234" s="416"/>
      <c r="G234" s="416"/>
      <c r="H234" s="416"/>
      <c r="I234" s="417"/>
      <c r="J234" s="416"/>
      <c r="K234" s="418"/>
      <c r="L234" s="445">
        <f>L188</f>
        <v>16.016222758627297</v>
      </c>
      <c r="M234" s="456">
        <f t="shared" ref="M234:Q234" si="93">M188</f>
        <v>48.172996350643636</v>
      </c>
      <c r="N234" s="456">
        <f t="shared" si="93"/>
        <v>49.771973545626778</v>
      </c>
      <c r="O234" s="456">
        <f t="shared" si="93"/>
        <v>58.119021575674665</v>
      </c>
      <c r="P234" s="456">
        <f t="shared" si="93"/>
        <v>119.8453853433293</v>
      </c>
      <c r="Q234" s="456">
        <f t="shared" si="93"/>
        <v>181.64593600417919</v>
      </c>
      <c r="S234" s="521"/>
      <c r="T234" s="521" t="s">
        <v>398</v>
      </c>
      <c r="U234" s="521"/>
      <c r="V234" s="521"/>
      <c r="W234" s="521"/>
      <c r="X234" s="521"/>
      <c r="Y234" s="521"/>
      <c r="Z234" s="521"/>
      <c r="AA234" s="521"/>
      <c r="AB234" s="521"/>
      <c r="AC234" s="521"/>
      <c r="AD234" s="521"/>
      <c r="AE234" s="525"/>
    </row>
    <row r="235" spans="2:31" ht="15.75" customHeight="1" outlineLevel="1" x14ac:dyDescent="0.25">
      <c r="B235" s="37"/>
      <c r="C235" s="424" t="s">
        <v>297</v>
      </c>
      <c r="D235" s="423"/>
      <c r="E235" s="416"/>
      <c r="F235" s="416"/>
      <c r="G235" s="416"/>
      <c r="H235" s="416"/>
      <c r="I235" s="417"/>
      <c r="J235" s="416"/>
      <c r="K235" s="418"/>
      <c r="L235" s="485"/>
      <c r="M235" s="456"/>
      <c r="N235" s="456"/>
      <c r="O235" s="456"/>
      <c r="P235" s="456"/>
      <c r="Q235" s="456"/>
      <c r="S235" s="521"/>
      <c r="T235" s="521" t="s">
        <v>399</v>
      </c>
      <c r="U235" s="521"/>
      <c r="V235" s="521"/>
      <c r="W235" s="521"/>
      <c r="X235" s="521"/>
      <c r="Y235" s="521"/>
      <c r="Z235" s="521"/>
      <c r="AA235" s="521"/>
      <c r="AB235" s="521"/>
      <c r="AC235" s="521"/>
      <c r="AD235" s="521"/>
      <c r="AE235" s="525"/>
    </row>
    <row r="236" spans="2:31" ht="15.75" customHeight="1" outlineLevel="1" x14ac:dyDescent="0.25">
      <c r="B236" s="37"/>
      <c r="C236" s="424" t="s">
        <v>340</v>
      </c>
      <c r="D236" s="423"/>
      <c r="E236" s="416"/>
      <c r="F236" s="416"/>
      <c r="G236" s="416"/>
      <c r="H236" s="416"/>
      <c r="I236" s="417"/>
      <c r="J236" s="416"/>
      <c r="K236" s="418"/>
      <c r="L236" s="445"/>
      <c r="M236" s="456"/>
      <c r="N236" s="456"/>
      <c r="O236" s="456"/>
      <c r="P236" s="456"/>
      <c r="Q236" s="456"/>
      <c r="S236" s="521"/>
      <c r="T236" s="521"/>
      <c r="U236" s="521"/>
      <c r="V236" s="521"/>
      <c r="W236" s="521"/>
      <c r="X236" s="521"/>
      <c r="Y236" s="521"/>
      <c r="Z236" s="521"/>
      <c r="AA236" s="521"/>
      <c r="AB236" s="521"/>
      <c r="AC236" s="521"/>
      <c r="AD236" s="521"/>
      <c r="AE236" s="525"/>
    </row>
    <row r="237" spans="2:31" ht="15.75" customHeight="1" outlineLevel="1" x14ac:dyDescent="0.25">
      <c r="B237" s="37"/>
      <c r="C237" s="424" t="s">
        <v>98</v>
      </c>
      <c r="D237" s="423"/>
      <c r="E237" s="416"/>
      <c r="F237" s="416"/>
      <c r="G237" s="416"/>
      <c r="H237" s="416"/>
      <c r="I237" s="417"/>
      <c r="J237" s="416"/>
      <c r="K237" s="418"/>
      <c r="L237" s="445">
        <f>-L258</f>
        <v>-8.2142876712328796</v>
      </c>
      <c r="M237" s="456">
        <f t="shared" ref="M237:Q237" si="94">-M258</f>
        <v>-33.313500000000019</v>
      </c>
      <c r="N237" s="456">
        <f t="shared" si="94"/>
        <v>-33.313500000000019</v>
      </c>
      <c r="O237" s="456">
        <f t="shared" si="94"/>
        <v>-33.313500000000019</v>
      </c>
      <c r="P237" s="456">
        <f t="shared" si="94"/>
        <v>-33.313500000000019</v>
      </c>
      <c r="Q237" s="456">
        <f t="shared" si="94"/>
        <v>-33.313500000000019</v>
      </c>
      <c r="S237" s="521"/>
      <c r="T237" s="521" t="s">
        <v>400</v>
      </c>
      <c r="U237" s="521"/>
      <c r="V237" s="521"/>
      <c r="W237" s="521"/>
      <c r="X237" s="521"/>
      <c r="Y237" s="521"/>
      <c r="Z237" s="521"/>
      <c r="AA237" s="521"/>
      <c r="AB237" s="521"/>
      <c r="AC237" s="521"/>
      <c r="AD237" s="521"/>
      <c r="AE237" s="525"/>
    </row>
    <row r="238" spans="2:31" ht="15.75" customHeight="1" outlineLevel="1" x14ac:dyDescent="0.25">
      <c r="B238" s="37"/>
      <c r="C238" s="424" t="s">
        <v>29</v>
      </c>
      <c r="D238" s="425"/>
      <c r="E238" s="416"/>
      <c r="F238" s="416"/>
      <c r="G238" s="416"/>
      <c r="H238" s="416"/>
      <c r="I238" s="417"/>
      <c r="J238" s="416"/>
      <c r="K238" s="418"/>
      <c r="L238" s="454">
        <f>-Fin_Projections!H99</f>
        <v>-38.377764544433788</v>
      </c>
      <c r="M238" s="342">
        <f>-Fin_Projections!I99</f>
        <v>-43.279451157816233</v>
      </c>
      <c r="N238" s="342">
        <f>-Fin_Projections!J99</f>
        <v>-45.161074357449941</v>
      </c>
      <c r="O238" s="342">
        <f>-Fin_Projections!K99</f>
        <v>-48.617695419021771</v>
      </c>
      <c r="P238" s="342">
        <f>-Fin_Projections!L99</f>
        <v>-51.90125274157603</v>
      </c>
      <c r="Q238" s="457">
        <f>-Fin_Projections!M99</f>
        <v>-55.292990439379899</v>
      </c>
      <c r="S238" s="521"/>
      <c r="T238" s="521" t="s">
        <v>401</v>
      </c>
      <c r="U238" s="521"/>
      <c r="V238" s="521"/>
      <c r="W238" s="521"/>
      <c r="X238" s="521"/>
      <c r="Y238" s="521"/>
      <c r="Z238" s="521"/>
      <c r="AA238" s="521"/>
      <c r="AB238" s="521"/>
      <c r="AC238" s="521"/>
      <c r="AD238" s="521"/>
      <c r="AE238" s="525"/>
    </row>
    <row r="239" spans="2:31" ht="15.75" customHeight="1" outlineLevel="1" x14ac:dyDescent="0.25">
      <c r="B239" s="37"/>
      <c r="C239" s="99" t="s">
        <v>302</v>
      </c>
      <c r="D239" s="423"/>
      <c r="E239" s="426"/>
      <c r="F239" s="426"/>
      <c r="G239" s="426"/>
      <c r="H239" s="426"/>
      <c r="I239" s="427"/>
      <c r="J239" s="426"/>
      <c r="K239" s="428"/>
      <c r="L239" s="455">
        <f>SUM(L233:L238)</f>
        <v>-30.575829457039369</v>
      </c>
      <c r="M239" s="455">
        <f t="shared" ref="M239:Q239" si="95">SUM(M233:M238)</f>
        <v>9.9578097372611651</v>
      </c>
      <c r="N239" s="455">
        <f t="shared" si="95"/>
        <v>14.576850345993059</v>
      </c>
      <c r="O239" s="455">
        <f t="shared" si="95"/>
        <v>21.348900514102823</v>
      </c>
      <c r="P239" s="455">
        <f t="shared" si="95"/>
        <v>87.075260805854413</v>
      </c>
      <c r="Q239" s="455">
        <f t="shared" si="95"/>
        <v>166.70951350783892</v>
      </c>
      <c r="S239" s="521"/>
      <c r="T239" s="521"/>
      <c r="U239" s="521"/>
      <c r="V239" s="521"/>
      <c r="W239" s="521"/>
      <c r="X239" s="521"/>
      <c r="Y239" s="521"/>
      <c r="Z239" s="521"/>
      <c r="AA239" s="521"/>
      <c r="AB239" s="521"/>
      <c r="AC239" s="521"/>
      <c r="AD239" s="521"/>
      <c r="AE239" s="525"/>
    </row>
    <row r="240" spans="2:31" ht="15.75" customHeight="1" outlineLevel="1" x14ac:dyDescent="0.25">
      <c r="B240" s="37"/>
      <c r="C240" s="424" t="s">
        <v>292</v>
      </c>
      <c r="D240" s="459"/>
      <c r="E240" s="416"/>
      <c r="F240" s="416"/>
      <c r="G240" s="416"/>
      <c r="H240" s="416"/>
      <c r="I240" s="417"/>
      <c r="J240" s="416"/>
      <c r="K240" s="418"/>
      <c r="L240" s="445">
        <f>-MIN(0,L239)</f>
        <v>30.575829457039369</v>
      </c>
      <c r="M240" s="456">
        <f t="shared" ref="M240:Q240" si="96">-MIN(0,M239)</f>
        <v>0</v>
      </c>
      <c r="N240" s="456">
        <f t="shared" si="96"/>
        <v>0</v>
      </c>
      <c r="O240" s="456">
        <f t="shared" si="96"/>
        <v>0</v>
      </c>
      <c r="P240" s="456">
        <f t="shared" si="96"/>
        <v>0</v>
      </c>
      <c r="Q240" s="456">
        <f t="shared" si="96"/>
        <v>0</v>
      </c>
      <c r="S240" s="521"/>
      <c r="T240" s="521" t="s">
        <v>402</v>
      </c>
      <c r="U240" s="521"/>
      <c r="V240" s="521"/>
      <c r="W240" s="521"/>
      <c r="X240" s="521"/>
      <c r="Y240" s="521"/>
      <c r="Z240" s="521"/>
      <c r="AA240" s="521"/>
      <c r="AB240" s="521"/>
      <c r="AC240" s="521"/>
      <c r="AD240" s="521"/>
      <c r="AE240" s="525"/>
    </row>
    <row r="241" spans="2:31" ht="15.75" customHeight="1" outlineLevel="1" x14ac:dyDescent="0.25">
      <c r="B241" s="37"/>
      <c r="C241" s="42"/>
      <c r="D241" s="415"/>
      <c r="E241" s="416"/>
      <c r="F241" s="416"/>
      <c r="G241" s="416"/>
      <c r="H241" s="416"/>
      <c r="I241" s="417"/>
      <c r="J241" s="416"/>
      <c r="K241" s="418"/>
      <c r="L241" s="416"/>
      <c r="M241" s="416"/>
      <c r="N241" s="416"/>
      <c r="O241" s="416"/>
      <c r="P241" s="416"/>
      <c r="Q241" s="416"/>
      <c r="S241" s="521"/>
      <c r="T241" s="537" t="s">
        <v>403</v>
      </c>
      <c r="U241" s="521"/>
      <c r="V241" s="521"/>
      <c r="W241" s="521"/>
      <c r="X241" s="521"/>
      <c r="Y241" s="521"/>
      <c r="Z241" s="521"/>
      <c r="AA241" s="521"/>
      <c r="AB241" s="521"/>
      <c r="AC241" s="521"/>
      <c r="AD241" s="521"/>
      <c r="AE241" s="525"/>
    </row>
    <row r="242" spans="2:31" ht="15.75" customHeight="1" outlineLevel="1" x14ac:dyDescent="0.25">
      <c r="B242" s="37"/>
      <c r="C242" s="436" t="s">
        <v>295</v>
      </c>
      <c r="D242" s="436"/>
      <c r="E242" s="436"/>
      <c r="F242" s="436"/>
      <c r="G242" s="436"/>
      <c r="H242" s="436"/>
      <c r="I242" s="437"/>
      <c r="J242" s="436"/>
      <c r="K242" s="438"/>
      <c r="L242" s="436"/>
      <c r="M242" s="436"/>
      <c r="N242" s="436"/>
      <c r="O242" s="436"/>
      <c r="P242" s="436"/>
      <c r="Q242" s="436"/>
      <c r="S242" s="521"/>
      <c r="T242" s="521"/>
      <c r="U242" s="521"/>
      <c r="V242" s="521"/>
      <c r="W242" s="521"/>
      <c r="X242" s="521"/>
      <c r="Y242" s="521"/>
      <c r="Z242" s="521"/>
      <c r="AA242" s="521"/>
      <c r="AB242" s="521"/>
      <c r="AC242" s="521"/>
      <c r="AD242" s="521"/>
      <c r="AE242" s="525"/>
    </row>
    <row r="243" spans="2:31" ht="15.75" customHeight="1" outlineLevel="1" x14ac:dyDescent="0.25">
      <c r="B243" s="37"/>
      <c r="C243" s="429" t="str">
        <f>$C$203</f>
        <v>Revolver:</v>
      </c>
      <c r="D243" s="423"/>
      <c r="E243" s="416"/>
      <c r="F243" s="416"/>
      <c r="G243" s="416"/>
      <c r="H243" s="416"/>
      <c r="I243" s="417"/>
      <c r="J243" s="416"/>
      <c r="K243" s="444">
        <f>D37</f>
        <v>0</v>
      </c>
      <c r="L243" s="445">
        <f>K243+L240-L252-L261</f>
        <v>30.575829457039369</v>
      </c>
      <c r="M243" s="452">
        <f t="shared" ref="M243:Q243" si="97">L243+M240-M252-M261</f>
        <v>20.618019719778204</v>
      </c>
      <c r="N243" s="452">
        <f t="shared" si="97"/>
        <v>6.0411693737851451</v>
      </c>
      <c r="O243" s="452">
        <f t="shared" si="97"/>
        <v>0</v>
      </c>
      <c r="P243" s="452">
        <f t="shared" si="97"/>
        <v>0</v>
      </c>
      <c r="Q243" s="452">
        <f t="shared" si="97"/>
        <v>0</v>
      </c>
      <c r="S243" s="521"/>
      <c r="T243" s="521" t="s">
        <v>404</v>
      </c>
      <c r="U243" s="521"/>
      <c r="V243" s="521"/>
      <c r="W243" s="521"/>
      <c r="X243" s="521"/>
      <c r="Y243" s="521"/>
      <c r="Z243" s="521"/>
      <c r="AA243" s="521"/>
      <c r="AB243" s="521"/>
      <c r="AC243" s="521"/>
      <c r="AD243" s="521"/>
      <c r="AE243" s="525"/>
    </row>
    <row r="244" spans="2:31" ht="15.75" customHeight="1" outlineLevel="1" x14ac:dyDescent="0.25">
      <c r="B244" s="37"/>
      <c r="C244" s="424" t="str">
        <f>$C$204</f>
        <v>Term Loan A:</v>
      </c>
      <c r="D244" s="423"/>
      <c r="E244" s="416"/>
      <c r="F244" s="416"/>
      <c r="G244" s="416"/>
      <c r="H244" s="416"/>
      <c r="I244" s="417"/>
      <c r="J244" s="416"/>
      <c r="K244" s="349">
        <f t="shared" ref="K244:K248" si="98">D38</f>
        <v>302.85000000000014</v>
      </c>
      <c r="L244" s="445">
        <f>K244+L235-L253-L262</f>
        <v>295.38246575342481</v>
      </c>
      <c r="M244" s="98">
        <f t="shared" ref="M244:Q244" si="99">L244+M235-M253-M262</f>
        <v>265.09746575342479</v>
      </c>
      <c r="N244" s="98">
        <f t="shared" si="99"/>
        <v>234.81246575342476</v>
      </c>
      <c r="O244" s="98">
        <f t="shared" si="99"/>
        <v>196.87360018326589</v>
      </c>
      <c r="P244" s="98">
        <f t="shared" si="99"/>
        <v>123.05096978033866</v>
      </c>
      <c r="Q244" s="98">
        <f t="shared" si="99"/>
        <v>9.4112130264191904</v>
      </c>
      <c r="S244" s="521"/>
      <c r="T244" s="537"/>
      <c r="U244" s="521"/>
      <c r="V244" s="521"/>
      <c r="W244" s="521"/>
      <c r="X244" s="521"/>
      <c r="Y244" s="521"/>
      <c r="Z244" s="521"/>
      <c r="AA244" s="521"/>
      <c r="AB244" s="521"/>
      <c r="AC244" s="521"/>
      <c r="AD244" s="521"/>
      <c r="AE244" s="525"/>
    </row>
    <row r="245" spans="2:31" ht="15.75" customHeight="1" outlineLevel="1" x14ac:dyDescent="0.25">
      <c r="B245" s="37"/>
      <c r="C245" s="424" t="str">
        <f>$C$205</f>
        <v>Term Loan B:</v>
      </c>
      <c r="D245" s="423"/>
      <c r="E245" s="416"/>
      <c r="F245" s="416"/>
      <c r="G245" s="416"/>
      <c r="H245" s="416"/>
      <c r="I245" s="417"/>
      <c r="J245" s="416"/>
      <c r="K245" s="349">
        <f t="shared" si="98"/>
        <v>302.85000000000014</v>
      </c>
      <c r="L245" s="445">
        <f>K245-L254-L263</f>
        <v>302.10324657534261</v>
      </c>
      <c r="M245" s="98">
        <f t="shared" ref="M245:Q245" si="100">L245-M254-M263</f>
        <v>299.0747465753426</v>
      </c>
      <c r="N245" s="98">
        <f t="shared" si="100"/>
        <v>296.04624657534259</v>
      </c>
      <c r="O245" s="98">
        <f t="shared" si="100"/>
        <v>289.19081379026318</v>
      </c>
      <c r="P245" s="98">
        <f t="shared" si="100"/>
        <v>264.39349858879956</v>
      </c>
      <c r="Q245" s="98">
        <f t="shared" si="100"/>
        <v>219.68762021183983</v>
      </c>
      <c r="S245" s="527" t="s">
        <v>2</v>
      </c>
      <c r="T245" s="536"/>
      <c r="U245" s="536"/>
      <c r="V245" s="536"/>
      <c r="W245" s="536"/>
      <c r="X245" s="536"/>
      <c r="Y245" s="536"/>
      <c r="Z245" s="536"/>
      <c r="AA245" s="536"/>
      <c r="AB245" s="536"/>
      <c r="AC245" s="521"/>
      <c r="AD245" s="521"/>
      <c r="AE245" s="525"/>
    </row>
    <row r="246" spans="2:31" ht="15.75" customHeight="1" outlineLevel="1" x14ac:dyDescent="0.25">
      <c r="B246" s="37"/>
      <c r="C246" s="424" t="str">
        <f>$C$206</f>
        <v>Senior Unsecured Notes:</v>
      </c>
      <c r="D246" s="423"/>
      <c r="E246" s="416"/>
      <c r="F246" s="416"/>
      <c r="G246" s="416"/>
      <c r="H246" s="416"/>
      <c r="I246" s="417"/>
      <c r="J246" s="416"/>
      <c r="K246" s="349">
        <f t="shared" si="98"/>
        <v>201.90000000000009</v>
      </c>
      <c r="L246" s="445">
        <f>K246-L255-L264</f>
        <v>201.90000000000009</v>
      </c>
      <c r="M246" s="98">
        <f t="shared" ref="M246:Q246" si="101">L246-M255-M264</f>
        <v>201.90000000000009</v>
      </c>
      <c r="N246" s="98">
        <f t="shared" si="101"/>
        <v>201.90000000000009</v>
      </c>
      <c r="O246" s="98">
        <f t="shared" si="101"/>
        <v>201.90000000000009</v>
      </c>
      <c r="P246" s="98">
        <f t="shared" si="101"/>
        <v>201.90000000000009</v>
      </c>
      <c r="Q246" s="98">
        <f t="shared" si="101"/>
        <v>201.90000000000009</v>
      </c>
      <c r="S246" s="521"/>
      <c r="T246" s="521"/>
      <c r="U246" s="521"/>
      <c r="V246" s="521"/>
      <c r="W246" s="521"/>
      <c r="X246" s="521"/>
      <c r="Y246" s="521"/>
      <c r="Z246" s="521"/>
      <c r="AA246" s="521"/>
      <c r="AB246" s="521"/>
      <c r="AC246" s="521"/>
      <c r="AD246" s="521"/>
      <c r="AE246" s="525"/>
    </row>
    <row r="247" spans="2:31" ht="15.75" customHeight="1" outlineLevel="1" x14ac:dyDescent="0.25">
      <c r="B247" s="37"/>
      <c r="C247" s="424" t="str">
        <f>$C$207</f>
        <v>Subordinated Notes:</v>
      </c>
      <c r="D247" s="423"/>
      <c r="E247" s="416"/>
      <c r="F247" s="416"/>
      <c r="G247" s="416"/>
      <c r="H247" s="416"/>
      <c r="I247" s="417"/>
      <c r="J247" s="416"/>
      <c r="K247" s="349">
        <f t="shared" si="98"/>
        <v>201.90000000000009</v>
      </c>
      <c r="L247" s="445">
        <f>K247+L221-L256-L265</f>
        <v>202.89567123287679</v>
      </c>
      <c r="M247" s="98">
        <f t="shared" ref="M247:Q247" si="102">L247+M221-M256-M265</f>
        <v>206.95358465753432</v>
      </c>
      <c r="N247" s="98">
        <f t="shared" si="102"/>
        <v>211.09265635068502</v>
      </c>
      <c r="O247" s="98">
        <f t="shared" si="102"/>
        <v>215.31450947769872</v>
      </c>
      <c r="P247" s="98">
        <f t="shared" si="102"/>
        <v>219.6207996672527</v>
      </c>
      <c r="Q247" s="98">
        <f t="shared" si="102"/>
        <v>224.01321566059775</v>
      </c>
      <c r="S247" s="521"/>
      <c r="T247" s="521" t="s">
        <v>405</v>
      </c>
      <c r="U247" s="521"/>
      <c r="V247" s="521"/>
      <c r="W247" s="521"/>
      <c r="X247" s="521"/>
      <c r="Y247" s="521"/>
      <c r="Z247" s="521"/>
      <c r="AA247" s="521"/>
      <c r="AB247" s="521"/>
      <c r="AC247" s="521"/>
      <c r="AD247" s="521"/>
      <c r="AE247" s="525"/>
    </row>
    <row r="248" spans="2:31" ht="15.75" customHeight="1" outlineLevel="1" x14ac:dyDescent="0.25">
      <c r="B248" s="37"/>
      <c r="C248" s="435" t="str">
        <f>$C$208</f>
        <v>Mezzanine:</v>
      </c>
      <c r="D248" s="425"/>
      <c r="E248" s="439"/>
      <c r="F248" s="439"/>
      <c r="G248" s="439"/>
      <c r="H248" s="439"/>
      <c r="I248" s="440"/>
      <c r="J248" s="439"/>
      <c r="K248" s="350">
        <f t="shared" si="98"/>
        <v>201.90000000000009</v>
      </c>
      <c r="L248" s="450">
        <f>K248+L222-L257-L266</f>
        <v>205.38484931506858</v>
      </c>
      <c r="M248" s="98">
        <f t="shared" ref="M248:Q248" si="103">L248+M222-M257-M266</f>
        <v>219.76178876712339</v>
      </c>
      <c r="N248" s="98">
        <f t="shared" si="103"/>
        <v>235.14511398082203</v>
      </c>
      <c r="O248" s="98">
        <f t="shared" si="103"/>
        <v>251.60527195947958</v>
      </c>
      <c r="P248" s="98">
        <f t="shared" si="103"/>
        <v>269.21764099664313</v>
      </c>
      <c r="Q248" s="98">
        <f t="shared" si="103"/>
        <v>288.06287586640815</v>
      </c>
      <c r="S248" s="521"/>
      <c r="T248" s="537"/>
      <c r="U248" s="521"/>
      <c r="V248" s="521"/>
      <c r="W248" s="521"/>
      <c r="X248" s="521"/>
      <c r="Y248" s="521"/>
      <c r="Z248" s="521"/>
      <c r="AA248" s="521"/>
      <c r="AB248" s="521"/>
      <c r="AC248" s="521"/>
      <c r="AD248" s="521"/>
      <c r="AE248" s="525"/>
    </row>
    <row r="249" spans="2:31" ht="15.75" customHeight="1" outlineLevel="1" x14ac:dyDescent="0.25">
      <c r="B249" s="37"/>
      <c r="C249" s="434" t="s">
        <v>296</v>
      </c>
      <c r="D249" s="423"/>
      <c r="E249" s="416"/>
      <c r="F249" s="416"/>
      <c r="G249" s="416"/>
      <c r="H249" s="416"/>
      <c r="I249" s="417"/>
      <c r="J249" s="416"/>
      <c r="K249" s="339">
        <f>SUM(K243:K248)</f>
        <v>1211.4000000000005</v>
      </c>
      <c r="L249" s="451">
        <f t="shared" ref="L249" si="104">SUM(L243:L248)</f>
        <v>1238.2420623337523</v>
      </c>
      <c r="M249" s="453">
        <f t="shared" ref="M249" si="105">SUM(M243:M248)</f>
        <v>1213.4056054732034</v>
      </c>
      <c r="N249" s="453">
        <f t="shared" ref="N249" si="106">SUM(N243:N248)</f>
        <v>1185.0376520340596</v>
      </c>
      <c r="O249" s="453">
        <f t="shared" ref="O249" si="107">SUM(O243:O248)</f>
        <v>1154.8841954107074</v>
      </c>
      <c r="P249" s="453">
        <f t="shared" ref="P249" si="108">SUM(P243:P248)</f>
        <v>1078.1829090330343</v>
      </c>
      <c r="Q249" s="453">
        <f t="shared" ref="Q249" si="109">SUM(Q243:Q248)</f>
        <v>943.074924765265</v>
      </c>
      <c r="S249" s="521"/>
      <c r="T249" s="537" t="s">
        <v>406</v>
      </c>
      <c r="U249" s="521"/>
      <c r="V249" s="521"/>
      <c r="W249" s="521"/>
      <c r="X249" s="521"/>
      <c r="Y249" s="521"/>
      <c r="Z249" s="521"/>
      <c r="AA249" s="521"/>
      <c r="AB249" s="521"/>
      <c r="AC249" s="521"/>
      <c r="AD249" s="521"/>
      <c r="AE249" s="525"/>
    </row>
    <row r="250" spans="2:31" ht="15.75" customHeight="1" outlineLevel="1" x14ac:dyDescent="0.25">
      <c r="B250" s="37"/>
      <c r="C250" s="42"/>
      <c r="D250" s="415"/>
      <c r="E250" s="416"/>
      <c r="F250" s="416"/>
      <c r="G250" s="416"/>
      <c r="H250" s="416"/>
      <c r="I250" s="417"/>
      <c r="J250" s="416"/>
      <c r="K250" s="418"/>
      <c r="L250" s="416"/>
      <c r="M250" s="416"/>
      <c r="N250" s="416"/>
      <c r="O250" s="416"/>
      <c r="P250" s="416"/>
      <c r="Q250" s="416"/>
      <c r="S250" s="521"/>
      <c r="T250" s="537"/>
      <c r="U250" s="521"/>
      <c r="V250" s="521"/>
      <c r="W250" s="521"/>
      <c r="X250" s="521"/>
      <c r="Y250" s="521"/>
      <c r="Z250" s="521"/>
      <c r="AA250" s="521"/>
      <c r="AB250" s="521"/>
      <c r="AC250" s="521"/>
      <c r="AD250" s="521"/>
      <c r="AE250" s="525"/>
    </row>
    <row r="251" spans="2:31" ht="15.75" customHeight="1" outlineLevel="1" x14ac:dyDescent="0.25">
      <c r="B251" s="37"/>
      <c r="C251" s="436" t="s">
        <v>293</v>
      </c>
      <c r="D251" s="442" t="s">
        <v>394</v>
      </c>
      <c r="E251" s="436"/>
      <c r="F251" s="436"/>
      <c r="G251" s="436"/>
      <c r="H251" s="436"/>
      <c r="I251" s="437"/>
      <c r="J251" s="436"/>
      <c r="K251" s="438"/>
      <c r="L251" s="436"/>
      <c r="M251" s="436"/>
      <c r="N251" s="436"/>
      <c r="O251" s="436"/>
      <c r="P251" s="436"/>
      <c r="Q251" s="436"/>
      <c r="S251" s="521"/>
      <c r="T251" s="537" t="s">
        <v>407</v>
      </c>
      <c r="U251" s="521"/>
      <c r="V251" s="521"/>
      <c r="W251" s="521"/>
      <c r="X251" s="521"/>
      <c r="Y251" s="521"/>
      <c r="Z251" s="521"/>
      <c r="AA251" s="521"/>
      <c r="AB251" s="521"/>
      <c r="AC251" s="521"/>
      <c r="AD251" s="521"/>
      <c r="AE251" s="525"/>
    </row>
    <row r="252" spans="2:31" ht="15.75" customHeight="1" outlineLevel="1" x14ac:dyDescent="0.25">
      <c r="B252" s="37"/>
      <c r="C252" s="429" t="str">
        <f>$C$203</f>
        <v>Revolver:</v>
      </c>
      <c r="D252" s="443">
        <f t="shared" ref="D252:D257" si="110">H50</f>
        <v>0</v>
      </c>
      <c r="E252" s="416"/>
      <c r="F252" s="416"/>
      <c r="G252" s="416"/>
      <c r="H252" s="416"/>
      <c r="I252" s="417"/>
      <c r="J252" s="416"/>
      <c r="K252" s="418"/>
      <c r="L252" s="445">
        <f t="shared" ref="L252:L257" si="111">MIN(K243,$D252*$K243*Post_Txn_Stub)</f>
        <v>0</v>
      </c>
      <c r="M252" s="452">
        <f>MIN(L243,$D252*$K243)</f>
        <v>0</v>
      </c>
      <c r="N252" s="452">
        <f t="shared" ref="N252:Q252" si="112">MIN(M243,$D252*$K243)</f>
        <v>0</v>
      </c>
      <c r="O252" s="452">
        <f t="shared" si="112"/>
        <v>0</v>
      </c>
      <c r="P252" s="452">
        <f t="shared" si="112"/>
        <v>0</v>
      </c>
      <c r="Q252" s="452">
        <f t="shared" si="112"/>
        <v>0</v>
      </c>
      <c r="S252" s="521"/>
      <c r="T252" s="537"/>
      <c r="U252" s="521"/>
      <c r="V252" s="521"/>
      <c r="W252" s="521"/>
      <c r="X252" s="521"/>
      <c r="Y252" s="521"/>
      <c r="Z252" s="521"/>
      <c r="AA252" s="521"/>
      <c r="AB252" s="521"/>
      <c r="AC252" s="521"/>
      <c r="AD252" s="521"/>
      <c r="AE252" s="525"/>
    </row>
    <row r="253" spans="2:31" ht="15.75" customHeight="1" outlineLevel="1" x14ac:dyDescent="0.25">
      <c r="C253" s="424" t="str">
        <f>$C$204</f>
        <v>Term Loan A:</v>
      </c>
      <c r="D253" s="443">
        <f t="shared" si="110"/>
        <v>0.1</v>
      </c>
      <c r="E253" s="420"/>
      <c r="F253" s="420"/>
      <c r="G253" s="144"/>
      <c r="H253" s="144"/>
      <c r="I253" s="421"/>
      <c r="J253" s="144"/>
      <c r="K253" s="348"/>
      <c r="L253" s="445">
        <f t="shared" si="111"/>
        <v>7.4675342465753456</v>
      </c>
      <c r="M253" s="98">
        <f t="shared" ref="M253:Q253" si="113">MIN(L244,$D253*$K244)</f>
        <v>30.285000000000014</v>
      </c>
      <c r="N253" s="98">
        <f t="shared" si="113"/>
        <v>30.285000000000014</v>
      </c>
      <c r="O253" s="98">
        <f t="shared" si="113"/>
        <v>30.285000000000014</v>
      </c>
      <c r="P253" s="98">
        <f t="shared" si="113"/>
        <v>30.285000000000014</v>
      </c>
      <c r="Q253" s="98">
        <f t="shared" si="113"/>
        <v>30.285000000000014</v>
      </c>
      <c r="S253" s="521"/>
      <c r="T253" s="537" t="s">
        <v>408</v>
      </c>
      <c r="U253" s="521"/>
      <c r="V253" s="521"/>
      <c r="W253" s="521"/>
      <c r="X253" s="521"/>
      <c r="Y253" s="521"/>
      <c r="Z253" s="521"/>
      <c r="AA253" s="521"/>
      <c r="AB253" s="521"/>
      <c r="AC253" s="521"/>
      <c r="AD253" s="521"/>
      <c r="AE253" s="525"/>
    </row>
    <row r="254" spans="2:31" ht="15.75" customHeight="1" outlineLevel="1" x14ac:dyDescent="0.25">
      <c r="C254" s="424" t="str">
        <f>$C$205</f>
        <v>Term Loan B:</v>
      </c>
      <c r="D254" s="443">
        <f t="shared" si="110"/>
        <v>0.01</v>
      </c>
      <c r="E254" s="420"/>
      <c r="F254" s="420"/>
      <c r="G254" s="144"/>
      <c r="H254" s="144"/>
      <c r="I254" s="421"/>
      <c r="J254" s="144"/>
      <c r="K254" s="348"/>
      <c r="L254" s="445">
        <f t="shared" si="111"/>
        <v>0.74675342465753458</v>
      </c>
      <c r="M254" s="98">
        <f t="shared" ref="M254:Q254" si="114">MIN(L245,$D254*$K245)</f>
        <v>3.0285000000000015</v>
      </c>
      <c r="N254" s="98">
        <f t="shared" si="114"/>
        <v>3.0285000000000015</v>
      </c>
      <c r="O254" s="98">
        <f t="shared" si="114"/>
        <v>3.0285000000000015</v>
      </c>
      <c r="P254" s="98">
        <f t="shared" si="114"/>
        <v>3.0285000000000015</v>
      </c>
      <c r="Q254" s="98">
        <f t="shared" si="114"/>
        <v>3.0285000000000015</v>
      </c>
      <c r="S254" s="521"/>
      <c r="T254" s="521"/>
      <c r="U254" s="521"/>
      <c r="V254" s="521"/>
      <c r="W254" s="521"/>
      <c r="X254" s="521"/>
      <c r="Y254" s="521"/>
      <c r="Z254" s="521"/>
      <c r="AA254" s="521"/>
      <c r="AB254" s="521"/>
      <c r="AC254" s="521"/>
      <c r="AD254" s="521"/>
      <c r="AE254" s="525"/>
    </row>
    <row r="255" spans="2:31" ht="15.75" customHeight="1" outlineLevel="1" x14ac:dyDescent="0.25">
      <c r="C255" s="424" t="str">
        <f>$C$206</f>
        <v>Senior Unsecured Notes:</v>
      </c>
      <c r="D255" s="443">
        <f t="shared" si="110"/>
        <v>0</v>
      </c>
      <c r="E255" s="420"/>
      <c r="F255" s="420"/>
      <c r="G255" s="144"/>
      <c r="H255" s="144"/>
      <c r="I255" s="421"/>
      <c r="J255" s="144"/>
      <c r="K255" s="348"/>
      <c r="L255" s="445">
        <f t="shared" si="111"/>
        <v>0</v>
      </c>
      <c r="M255" s="98">
        <f t="shared" ref="M255:Q255" si="115">MIN(L246,$D255*$K246)</f>
        <v>0</v>
      </c>
      <c r="N255" s="98">
        <f t="shared" si="115"/>
        <v>0</v>
      </c>
      <c r="O255" s="98">
        <f t="shared" si="115"/>
        <v>0</v>
      </c>
      <c r="P255" s="98">
        <f t="shared" si="115"/>
        <v>0</v>
      </c>
      <c r="Q255" s="98">
        <f t="shared" si="115"/>
        <v>0</v>
      </c>
      <c r="S255" s="521"/>
      <c r="T255" s="521" t="s">
        <v>409</v>
      </c>
      <c r="U255" s="521"/>
      <c r="V255" s="521"/>
      <c r="W255" s="521"/>
      <c r="X255" s="521"/>
      <c r="Y255" s="521"/>
      <c r="Z255" s="521"/>
      <c r="AA255" s="521"/>
      <c r="AB255" s="521"/>
      <c r="AC255" s="521"/>
      <c r="AD255" s="521"/>
      <c r="AE255" s="525"/>
    </row>
    <row r="256" spans="2:31" ht="15.75" customHeight="1" outlineLevel="1" x14ac:dyDescent="0.25">
      <c r="C256" s="424" t="str">
        <f>$C$207</f>
        <v>Subordinated Notes:</v>
      </c>
      <c r="D256" s="443">
        <f t="shared" si="110"/>
        <v>0</v>
      </c>
      <c r="E256" s="420"/>
      <c r="F256" s="420"/>
      <c r="G256" s="144"/>
      <c r="H256" s="144"/>
      <c r="I256" s="421"/>
      <c r="J256" s="144"/>
      <c r="K256" s="348"/>
      <c r="L256" s="445">
        <f t="shared" si="111"/>
        <v>0</v>
      </c>
      <c r="M256" s="98">
        <f t="shared" ref="M256:Q256" si="116">MIN(L247,$D256*$K247)</f>
        <v>0</v>
      </c>
      <c r="N256" s="98">
        <f t="shared" si="116"/>
        <v>0</v>
      </c>
      <c r="O256" s="98">
        <f t="shared" si="116"/>
        <v>0</v>
      </c>
      <c r="P256" s="98">
        <f t="shared" si="116"/>
        <v>0</v>
      </c>
      <c r="Q256" s="98">
        <f t="shared" si="116"/>
        <v>0</v>
      </c>
      <c r="S256" s="521"/>
      <c r="T256" s="521"/>
      <c r="U256" s="521"/>
      <c r="V256" s="521"/>
      <c r="W256" s="521"/>
      <c r="X256" s="521"/>
      <c r="Y256" s="521"/>
      <c r="Z256" s="521"/>
      <c r="AA256" s="521"/>
      <c r="AB256" s="521"/>
      <c r="AC256" s="521"/>
      <c r="AD256" s="521"/>
      <c r="AE256" s="525"/>
    </row>
    <row r="257" spans="2:31" ht="15.75" customHeight="1" outlineLevel="1" x14ac:dyDescent="0.25">
      <c r="C257" s="424" t="str">
        <f>$C$208</f>
        <v>Mezzanine:</v>
      </c>
      <c r="D257" s="443">
        <f t="shared" si="110"/>
        <v>0</v>
      </c>
      <c r="E257" s="420"/>
      <c r="F257" s="420"/>
      <c r="G257" s="144"/>
      <c r="H257" s="144"/>
      <c r="I257" s="421"/>
      <c r="J257" s="144"/>
      <c r="K257" s="348"/>
      <c r="L257" s="450">
        <f t="shared" si="111"/>
        <v>0</v>
      </c>
      <c r="M257" s="98">
        <f t="shared" ref="M257:Q257" si="117">MIN(L248,$D257*$K248)</f>
        <v>0</v>
      </c>
      <c r="N257" s="98">
        <f t="shared" si="117"/>
        <v>0</v>
      </c>
      <c r="O257" s="98">
        <f t="shared" si="117"/>
        <v>0</v>
      </c>
      <c r="P257" s="98">
        <f t="shared" si="117"/>
        <v>0</v>
      </c>
      <c r="Q257" s="98">
        <f t="shared" si="117"/>
        <v>0</v>
      </c>
      <c r="S257" s="521"/>
      <c r="T257" s="537" t="s">
        <v>410</v>
      </c>
      <c r="U257" s="521"/>
      <c r="V257" s="521"/>
      <c r="W257" s="521"/>
      <c r="X257" s="521"/>
      <c r="Y257" s="521"/>
      <c r="Z257" s="521"/>
      <c r="AA257" s="521"/>
      <c r="AB257" s="521"/>
      <c r="AC257" s="521"/>
      <c r="AD257" s="521"/>
      <c r="AE257" s="525"/>
    </row>
    <row r="258" spans="2:31" ht="15.75" customHeight="1" outlineLevel="1" x14ac:dyDescent="0.25">
      <c r="C258" s="430" t="s">
        <v>294</v>
      </c>
      <c r="D258" s="431"/>
      <c r="E258" s="431"/>
      <c r="F258" s="431"/>
      <c r="G258" s="431"/>
      <c r="H258" s="431"/>
      <c r="I258" s="432"/>
      <c r="J258" s="431"/>
      <c r="K258" s="433"/>
      <c r="L258" s="451">
        <f>SUM(L252:L257)</f>
        <v>8.2142876712328796</v>
      </c>
      <c r="M258" s="453">
        <f t="shared" ref="M258:Q258" si="118">SUM(M252:M257)</f>
        <v>33.313500000000019</v>
      </c>
      <c r="N258" s="453">
        <f t="shared" si="118"/>
        <v>33.313500000000019</v>
      </c>
      <c r="O258" s="453">
        <f t="shared" si="118"/>
        <v>33.313500000000019</v>
      </c>
      <c r="P258" s="453">
        <f t="shared" si="118"/>
        <v>33.313500000000019</v>
      </c>
      <c r="Q258" s="453">
        <f t="shared" si="118"/>
        <v>33.313500000000019</v>
      </c>
      <c r="S258" s="521"/>
      <c r="T258" s="537"/>
      <c r="U258" s="521"/>
      <c r="V258" s="521"/>
      <c r="W258" s="521"/>
      <c r="X258" s="521"/>
      <c r="Y258" s="521"/>
      <c r="Z258" s="521"/>
      <c r="AA258" s="521"/>
      <c r="AB258" s="521"/>
      <c r="AC258" s="521"/>
      <c r="AD258" s="521"/>
      <c r="AE258" s="525"/>
    </row>
    <row r="259" spans="2:31" ht="15.75" customHeight="1" outlineLevel="1" x14ac:dyDescent="0.25">
      <c r="C259" s="419"/>
      <c r="D259" s="420"/>
      <c r="E259" s="420"/>
      <c r="F259" s="420"/>
      <c r="G259" s="144"/>
      <c r="H259" s="144"/>
      <c r="I259" s="421"/>
      <c r="J259" s="144"/>
      <c r="K259" s="348"/>
      <c r="L259" s="422"/>
      <c r="M259" s="98"/>
      <c r="N259" s="535"/>
      <c r="O259" s="535"/>
      <c r="P259" s="535"/>
      <c r="Q259" s="422"/>
      <c r="S259" s="521"/>
      <c r="T259" s="521" t="s">
        <v>411</v>
      </c>
      <c r="U259" s="521"/>
      <c r="V259" s="521"/>
      <c r="W259" s="521"/>
      <c r="X259" s="521"/>
      <c r="Y259" s="521"/>
      <c r="Z259" s="521"/>
      <c r="AA259" s="521"/>
      <c r="AB259" s="521"/>
      <c r="AC259" s="521"/>
      <c r="AD259" s="521"/>
    </row>
    <row r="260" spans="2:31" ht="15.75" customHeight="1" outlineLevel="1" x14ac:dyDescent="0.25">
      <c r="C260" s="436" t="s">
        <v>298</v>
      </c>
      <c r="D260" s="442" t="s">
        <v>75</v>
      </c>
      <c r="E260" s="436"/>
      <c r="F260" s="436"/>
      <c r="G260" s="436"/>
      <c r="H260" s="436"/>
      <c r="I260" s="437"/>
      <c r="J260" s="436"/>
      <c r="K260" s="438"/>
      <c r="L260" s="436"/>
      <c r="M260" s="436"/>
      <c r="N260" s="436"/>
      <c r="O260" s="436"/>
      <c r="P260" s="436"/>
      <c r="Q260" s="436"/>
      <c r="S260" s="521"/>
      <c r="T260" s="521" t="s">
        <v>412</v>
      </c>
      <c r="U260" s="521"/>
      <c r="V260" s="521"/>
      <c r="W260" s="521"/>
      <c r="X260" s="521"/>
      <c r="Y260" s="521"/>
      <c r="Z260" s="521"/>
      <c r="AA260" s="521"/>
      <c r="AB260" s="521"/>
      <c r="AC260" s="521"/>
      <c r="AD260" s="521"/>
    </row>
    <row r="261" spans="2:31" ht="15.75" customHeight="1" outlineLevel="1" x14ac:dyDescent="0.25">
      <c r="C261" s="429" t="str">
        <f>$C$203</f>
        <v>Revolver:</v>
      </c>
      <c r="D261" s="443">
        <f t="shared" ref="D261:D266" si="119">I50</f>
        <v>1</v>
      </c>
      <c r="E261" s="416"/>
      <c r="F261" s="416"/>
      <c r="G261" s="416"/>
      <c r="H261" s="416"/>
      <c r="I261" s="417"/>
      <c r="J261" s="416"/>
      <c r="K261" s="418"/>
      <c r="L261" s="445">
        <f>MIN(K243-L252,$D261*(SUM(L$239:L$240)-SUM(L$260:L260)))</f>
        <v>0</v>
      </c>
      <c r="M261" s="452">
        <f>MIN(L243-M252,$D261*(SUM(M$239:M$240)-SUM(M$260:M260)))</f>
        <v>9.9578097372611651</v>
      </c>
      <c r="N261" s="452">
        <f>MIN(M243-N252,$D261*(SUM(N$239:N$240)-SUM(N$260:N260)))</f>
        <v>14.576850345993059</v>
      </c>
      <c r="O261" s="452">
        <f>MIN(N243-O252,$D261*(SUM(O$239:O$240)-SUM(O$260:O260)))</f>
        <v>6.0411693737851451</v>
      </c>
      <c r="P261" s="452">
        <f>MIN(O243-P252,$D261*(SUM(P$239:P$240)-SUM(P$260:P260)))</f>
        <v>0</v>
      </c>
      <c r="Q261" s="452">
        <f>MIN(P243-Q252,$D261*(SUM(Q$239:Q$240)-SUM(Q$260:Q260)))</f>
        <v>0</v>
      </c>
      <c r="S261" s="521"/>
      <c r="T261" s="521"/>
      <c r="U261" s="521"/>
      <c r="V261" s="521"/>
      <c r="W261" s="521"/>
      <c r="X261" s="521"/>
      <c r="Y261" s="521"/>
      <c r="Z261" s="521"/>
      <c r="AA261" s="521"/>
      <c r="AB261" s="521"/>
      <c r="AC261" s="521"/>
      <c r="AD261" s="521"/>
    </row>
    <row r="262" spans="2:31" ht="15.75" customHeight="1" outlineLevel="1" x14ac:dyDescent="0.25">
      <c r="C262" s="424" t="str">
        <f>$C$204</f>
        <v>Term Loan A:</v>
      </c>
      <c r="D262" s="443">
        <f t="shared" si="119"/>
        <v>0.5</v>
      </c>
      <c r="E262" s="420"/>
      <c r="F262" s="420"/>
      <c r="G262" s="144"/>
      <c r="H262" s="144"/>
      <c r="I262" s="421"/>
      <c r="J262" s="144"/>
      <c r="K262" s="348"/>
      <c r="L262" s="445">
        <f>MIN(K244-L253,$D262*(SUM(L$239:L$240)-SUM(L$260:L261)))</f>
        <v>0</v>
      </c>
      <c r="M262" s="98">
        <f>MIN(L244-M253,$D262*(SUM(M$239:M$240)-SUM(M$260:M261)))</f>
        <v>0</v>
      </c>
      <c r="N262" s="98">
        <f>MIN(M244-N253,$D262*(SUM(N$239:N$240)-SUM(N$260:N261)))</f>
        <v>0</v>
      </c>
      <c r="O262" s="98">
        <f>MIN(N244-O253,$D262*(SUM(O$239:O$240)-SUM(O$260:O261)))</f>
        <v>7.6538655701588389</v>
      </c>
      <c r="P262" s="98">
        <f>MIN(O244-P253,$D262*(SUM(P$239:P$240)-SUM(P$260:P261)))</f>
        <v>43.537630402927206</v>
      </c>
      <c r="Q262" s="98">
        <f>MIN(P244-Q253,$D262*(SUM(Q$239:Q$240)-SUM(Q$260:Q261)))</f>
        <v>83.35475675391946</v>
      </c>
      <c r="S262" s="521"/>
      <c r="T262" s="521" t="s">
        <v>413</v>
      </c>
      <c r="U262" s="521"/>
      <c r="V262" s="521"/>
      <c r="W262" s="521"/>
      <c r="X262" s="521"/>
      <c r="Y262" s="521"/>
      <c r="Z262" s="521"/>
      <c r="AA262" s="521"/>
      <c r="AB262" s="521"/>
      <c r="AC262" s="521"/>
      <c r="AD262" s="521"/>
    </row>
    <row r="263" spans="2:31" ht="15.75" customHeight="1" outlineLevel="1" x14ac:dyDescent="0.25">
      <c r="C263" s="424" t="str">
        <f>$C$205</f>
        <v>Term Loan B:</v>
      </c>
      <c r="D263" s="443">
        <f t="shared" si="119"/>
        <v>0.5</v>
      </c>
      <c r="E263" s="420"/>
      <c r="F263" s="420"/>
      <c r="G263" s="144"/>
      <c r="H263" s="144"/>
      <c r="I263" s="421"/>
      <c r="J263" s="144"/>
      <c r="K263" s="348"/>
      <c r="L263" s="445">
        <f>MIN(K245-L254,$D263*(SUM(L$239:L$240)-SUM(L$260:L262)))</f>
        <v>0</v>
      </c>
      <c r="M263" s="98">
        <f>MIN(L245-M254,$D263*(SUM(M$239:M$240)-SUM(M$260:M262)))</f>
        <v>0</v>
      </c>
      <c r="N263" s="98">
        <f>MIN(M245-N254,$D263*(SUM(N$239:N$240)-SUM(N$260:N262)))</f>
        <v>0</v>
      </c>
      <c r="O263" s="98">
        <f>MIN(N245-O254,$D263*(SUM(O$239:O$240)-SUM(O$260:O262)))</f>
        <v>3.8269327850794195</v>
      </c>
      <c r="P263" s="98">
        <f>MIN(O245-P254,$D263*(SUM(P$239:P$240)-SUM(P$260:P262)))</f>
        <v>21.768815201463603</v>
      </c>
      <c r="Q263" s="98">
        <f>MIN(P245-Q254,$D263*(SUM(Q$239:Q$240)-SUM(Q$260:Q262)))</f>
        <v>41.67737837695973</v>
      </c>
      <c r="S263" s="521"/>
      <c r="T263" s="521" t="s">
        <v>414</v>
      </c>
      <c r="U263" s="521"/>
      <c r="V263" s="521"/>
      <c r="W263" s="521"/>
      <c r="X263" s="521"/>
      <c r="Y263" s="521"/>
      <c r="Z263" s="521"/>
      <c r="AA263" s="521"/>
      <c r="AB263" s="521"/>
      <c r="AC263" s="521"/>
      <c r="AD263" s="521"/>
    </row>
    <row r="264" spans="2:31" ht="15.75" customHeight="1" outlineLevel="1" x14ac:dyDescent="0.25">
      <c r="C264" s="424" t="str">
        <f>$C$206</f>
        <v>Senior Unsecured Notes:</v>
      </c>
      <c r="D264" s="443">
        <f t="shared" si="119"/>
        <v>0</v>
      </c>
      <c r="E264" s="420"/>
      <c r="F264" s="420"/>
      <c r="G264" s="144"/>
      <c r="H264" s="144"/>
      <c r="I264" s="421"/>
      <c r="J264" s="144"/>
      <c r="K264" s="348"/>
      <c r="L264" s="445">
        <f>MIN(K246-L255,$D264*(SUM(L$239:L$240)-SUM(L$260:L263)))</f>
        <v>0</v>
      </c>
      <c r="M264" s="98">
        <f>MIN(L246-M255,$D264*(SUM(M$239:M$240)-SUM(M$260:M263)))</f>
        <v>0</v>
      </c>
      <c r="N264" s="98">
        <f>MIN(M246-N255,$D264*(SUM(N$239:N$240)-SUM(N$260:N263)))</f>
        <v>0</v>
      </c>
      <c r="O264" s="98">
        <f>MIN(N246-O255,$D264*(SUM(O$239:O$240)-SUM(O$260:O263)))</f>
        <v>0</v>
      </c>
      <c r="P264" s="98">
        <f>MIN(O246-P255,$D264*(SUM(P$239:P$240)-SUM(P$260:P263)))</f>
        <v>0</v>
      </c>
      <c r="Q264" s="98">
        <f>MIN(P246-Q255,$D264*(SUM(Q$239:Q$240)-SUM(Q$260:Q263)))</f>
        <v>0</v>
      </c>
      <c r="S264" s="521"/>
      <c r="T264" s="537"/>
      <c r="U264" s="521"/>
      <c r="V264" s="521"/>
      <c r="W264" s="521"/>
      <c r="X264" s="521"/>
      <c r="Y264" s="521"/>
      <c r="Z264" s="521"/>
      <c r="AA264" s="521"/>
      <c r="AB264" s="521"/>
      <c r="AC264" s="521"/>
      <c r="AD264" s="521"/>
    </row>
    <row r="265" spans="2:31" ht="15.75" customHeight="1" outlineLevel="1" x14ac:dyDescent="0.25">
      <c r="C265" s="424" t="str">
        <f>$C$207</f>
        <v>Subordinated Notes:</v>
      </c>
      <c r="D265" s="443">
        <f t="shared" si="119"/>
        <v>0</v>
      </c>
      <c r="E265" s="420"/>
      <c r="F265" s="420"/>
      <c r="G265" s="144"/>
      <c r="H265" s="144"/>
      <c r="I265" s="421"/>
      <c r="J265" s="144"/>
      <c r="K265" s="348"/>
      <c r="L265" s="445">
        <f>MIN(K247-L256,$D265*(SUM(L$239:L$240)-SUM(L$260:L264)))</f>
        <v>0</v>
      </c>
      <c r="M265" s="98">
        <f>MIN(L247-M256,$D265*(SUM(M$239:M$240)-SUM(M$260:M264)))</f>
        <v>0</v>
      </c>
      <c r="N265" s="98">
        <f>MIN(M247-N256,$D265*(SUM(N$239:N$240)-SUM(N$260:N264)))</f>
        <v>0</v>
      </c>
      <c r="O265" s="98">
        <f>MIN(N247-O256,$D265*(SUM(O$239:O$240)-SUM(O$260:O264)))</f>
        <v>0</v>
      </c>
      <c r="P265" s="98">
        <f>MIN(O247-P256,$D265*(SUM(P$239:P$240)-SUM(P$260:P264)))</f>
        <v>0</v>
      </c>
      <c r="Q265" s="98">
        <f>MIN(P247-Q256,$D265*(SUM(Q$239:Q$240)-SUM(Q$260:Q264)))</f>
        <v>0</v>
      </c>
      <c r="S265" s="521"/>
      <c r="T265" s="537" t="s">
        <v>415</v>
      </c>
      <c r="U265" s="521"/>
      <c r="V265" s="521"/>
      <c r="W265" s="521"/>
      <c r="X265" s="521"/>
      <c r="Y265" s="521"/>
      <c r="Z265" s="521"/>
      <c r="AA265" s="521"/>
      <c r="AB265" s="521"/>
      <c r="AC265" s="521"/>
      <c r="AD265" s="521"/>
    </row>
    <row r="266" spans="2:31" ht="15.75" customHeight="1" outlineLevel="1" x14ac:dyDescent="0.25">
      <c r="C266" s="424" t="str">
        <f>$C$208</f>
        <v>Mezzanine:</v>
      </c>
      <c r="D266" s="443">
        <f t="shared" si="119"/>
        <v>0</v>
      </c>
      <c r="E266" s="420"/>
      <c r="F266" s="420"/>
      <c r="G266" s="144"/>
      <c r="H266" s="144"/>
      <c r="I266" s="421"/>
      <c r="J266" s="144"/>
      <c r="K266" s="348"/>
      <c r="L266" s="450">
        <f>MIN(K248-L257,$D266*(SUM(L$239:L$240)-SUM(L$260:L265)))</f>
        <v>0</v>
      </c>
      <c r="M266" s="98">
        <f>MIN(L248-M257,$D266*(SUM(M$239:M$240)-SUM(M$260:M265)))</f>
        <v>0</v>
      </c>
      <c r="N266" s="98">
        <f>MIN(M248-N257,$D266*(SUM(N$239:N$240)-SUM(N$260:N265)))</f>
        <v>0</v>
      </c>
      <c r="O266" s="98">
        <f>MIN(N248-O257,$D266*(SUM(O$239:O$240)-SUM(O$260:O265)))</f>
        <v>0</v>
      </c>
      <c r="P266" s="98">
        <f>MIN(O248-P257,$D266*(SUM(P$239:P$240)-SUM(P$260:P265)))</f>
        <v>0</v>
      </c>
      <c r="Q266" s="98">
        <f>MIN(P248-Q257,$D266*(SUM(Q$239:Q$240)-SUM(Q$260:Q265)))</f>
        <v>0</v>
      </c>
      <c r="S266" s="521"/>
      <c r="T266" s="537"/>
      <c r="U266" s="521"/>
      <c r="V266" s="521"/>
      <c r="W266" s="521"/>
      <c r="X266" s="521"/>
      <c r="Y266" s="521"/>
      <c r="Z266" s="521"/>
      <c r="AA266" s="521"/>
      <c r="AB266" s="521"/>
      <c r="AC266" s="521"/>
      <c r="AD266" s="521"/>
    </row>
    <row r="267" spans="2:31" ht="15.75" customHeight="1" outlineLevel="1" x14ac:dyDescent="0.25">
      <c r="C267" s="430" t="s">
        <v>299</v>
      </c>
      <c r="D267" s="431"/>
      <c r="E267" s="431"/>
      <c r="F267" s="431"/>
      <c r="G267" s="431"/>
      <c r="H267" s="431"/>
      <c r="I267" s="432"/>
      <c r="J267" s="431"/>
      <c r="K267" s="433"/>
      <c r="L267" s="463">
        <f>SUM(L261:L266)</f>
        <v>0</v>
      </c>
      <c r="M267" s="464">
        <f t="shared" ref="M267:Q267" si="120">SUM(M261:M266)</f>
        <v>9.9578097372611651</v>
      </c>
      <c r="N267" s="464">
        <f t="shared" si="120"/>
        <v>14.576850345993059</v>
      </c>
      <c r="O267" s="464">
        <f t="shared" si="120"/>
        <v>17.521967729023402</v>
      </c>
      <c r="P267" s="464">
        <f t="shared" si="120"/>
        <v>65.306445604390802</v>
      </c>
      <c r="Q267" s="464">
        <f t="shared" si="120"/>
        <v>125.0321351308792</v>
      </c>
      <c r="S267" s="521"/>
      <c r="T267" s="537" t="s">
        <v>416</v>
      </c>
      <c r="U267" s="521"/>
      <c r="V267" s="521"/>
      <c r="W267" s="521"/>
      <c r="X267" s="521"/>
      <c r="Y267" s="521"/>
      <c r="Z267" s="521"/>
      <c r="AA267" s="521"/>
      <c r="AB267" s="521"/>
      <c r="AC267" s="521"/>
      <c r="AD267" s="521"/>
    </row>
    <row r="268" spans="2:31" ht="15.75" customHeight="1" x14ac:dyDescent="0.25">
      <c r="C268" s="119"/>
      <c r="G268" s="128"/>
      <c r="H268" s="128"/>
      <c r="I268" s="128"/>
      <c r="J268" s="128"/>
      <c r="K268" s="128"/>
      <c r="L268" s="121"/>
      <c r="M268" s="126"/>
      <c r="N268" s="121"/>
      <c r="O268" s="121"/>
      <c r="P268" s="121"/>
      <c r="Q268" s="121"/>
      <c r="S268" s="521"/>
      <c r="T268" s="521"/>
      <c r="U268" s="521"/>
      <c r="V268" s="521"/>
      <c r="W268" s="521"/>
      <c r="X268" s="521"/>
      <c r="Y268" s="521"/>
      <c r="Z268" s="521"/>
      <c r="AA268" s="521"/>
      <c r="AB268" s="521"/>
      <c r="AC268" s="521"/>
      <c r="AD268" s="521"/>
    </row>
    <row r="269" spans="2:31" ht="15.75" customHeight="1" x14ac:dyDescent="0.25">
      <c r="B269" s="25"/>
      <c r="C269" s="26"/>
      <c r="D269" s="14"/>
      <c r="E269" s="15" t="str">
        <f>$E$82</f>
        <v>Historical:</v>
      </c>
      <c r="F269" s="16"/>
      <c r="G269" s="16"/>
      <c r="H269" s="321" t="str">
        <f>$H$82</f>
        <v>Stub:</v>
      </c>
      <c r="I269" s="17" t="str">
        <f>$I$82</f>
        <v>Transaction Adjustments:</v>
      </c>
      <c r="J269" s="16"/>
      <c r="K269" s="16"/>
      <c r="L269" s="320" t="str">
        <f>$L$82</f>
        <v>Stub:</v>
      </c>
      <c r="M269" s="15" t="str">
        <f>$M$82</f>
        <v>Post-Transaction - Projected:</v>
      </c>
      <c r="N269" s="16"/>
      <c r="O269" s="16"/>
      <c r="P269" s="16"/>
      <c r="Q269" s="16"/>
      <c r="S269" s="521"/>
      <c r="T269" s="521" t="s">
        <v>417</v>
      </c>
      <c r="U269" s="521"/>
      <c r="V269" s="521"/>
      <c r="W269" s="521"/>
      <c r="X269" s="521"/>
      <c r="Y269" s="521"/>
      <c r="Z269" s="521"/>
      <c r="AA269" s="521"/>
      <c r="AB269" s="521"/>
      <c r="AC269" s="521"/>
      <c r="AD269" s="521"/>
    </row>
    <row r="270" spans="2:31" ht="15.75" customHeight="1" x14ac:dyDescent="0.25">
      <c r="B270" s="4" t="s">
        <v>143</v>
      </c>
      <c r="C270" s="5"/>
      <c r="D270" s="35" t="str">
        <f>$D$5</f>
        <v>Units:</v>
      </c>
      <c r="E270" s="1">
        <f>$E$83</f>
        <v>43190</v>
      </c>
      <c r="F270" s="1">
        <f>$F$83</f>
        <v>43555</v>
      </c>
      <c r="G270" s="2">
        <f>$G$83</f>
        <v>43921</v>
      </c>
      <c r="H270" s="319">
        <f>$H$83</f>
        <v>44196</v>
      </c>
      <c r="I270" s="1" t="str">
        <f>$I$83</f>
        <v>Debit</v>
      </c>
      <c r="J270" s="1" t="str">
        <f>$J$83</f>
        <v>Credit</v>
      </c>
      <c r="K270" s="319">
        <f>$K$83</f>
        <v>44196</v>
      </c>
      <c r="L270" s="319">
        <f>$L$83</f>
        <v>44286</v>
      </c>
      <c r="M270" s="1">
        <f>$M$83</f>
        <v>44651</v>
      </c>
      <c r="N270" s="1">
        <f>$N$83</f>
        <v>45016</v>
      </c>
      <c r="O270" s="1">
        <f>$O$83</f>
        <v>45382</v>
      </c>
      <c r="P270" s="1">
        <f>$P$83</f>
        <v>45747</v>
      </c>
      <c r="Q270" s="324">
        <f>$Q$83</f>
        <v>46112</v>
      </c>
      <c r="S270" s="521"/>
      <c r="T270" s="521"/>
      <c r="U270" s="521"/>
      <c r="V270" s="521"/>
      <c r="W270" s="521"/>
      <c r="X270" s="521"/>
      <c r="Y270" s="521"/>
      <c r="Z270" s="521"/>
      <c r="AA270" s="521"/>
      <c r="AB270" s="521"/>
      <c r="AC270" s="521"/>
      <c r="AD270" s="521"/>
    </row>
    <row r="271" spans="2:31" ht="15.75" customHeight="1" outlineLevel="1" x14ac:dyDescent="0.25">
      <c r="C271" s="119"/>
      <c r="G271" s="128"/>
      <c r="H271" s="128"/>
      <c r="I271" s="161"/>
      <c r="J271" s="120"/>
      <c r="K271" s="162"/>
      <c r="L271" s="121"/>
      <c r="M271" s="126"/>
      <c r="N271" s="121"/>
      <c r="O271" s="121"/>
      <c r="P271" s="121"/>
      <c r="Q271" s="121"/>
      <c r="S271" s="527" t="s">
        <v>418</v>
      </c>
      <c r="T271" s="536"/>
      <c r="U271" s="536"/>
      <c r="V271" s="536"/>
      <c r="W271" s="536"/>
      <c r="X271" s="536"/>
      <c r="Y271" s="536"/>
      <c r="Z271" s="536"/>
      <c r="AA271" s="536"/>
      <c r="AB271" s="536"/>
      <c r="AC271" s="521"/>
      <c r="AD271" s="521"/>
    </row>
    <row r="272" spans="2:31" ht="15.75" customHeight="1" outlineLevel="1" x14ac:dyDescent="0.25">
      <c r="C272" s="67" t="s">
        <v>144</v>
      </c>
      <c r="D272" s="48" t="s">
        <v>168</v>
      </c>
      <c r="G272" s="128"/>
      <c r="H272" s="128"/>
      <c r="I272" s="148"/>
      <c r="J272" s="128"/>
      <c r="K272" s="149"/>
      <c r="L272" s="265"/>
      <c r="M272" s="265"/>
      <c r="N272" s="265"/>
      <c r="O272" s="265"/>
      <c r="P272" s="265"/>
      <c r="Q272" s="265"/>
      <c r="S272" s="521"/>
      <c r="T272" s="521"/>
      <c r="U272" s="521"/>
      <c r="V272" s="521"/>
      <c r="W272" s="521"/>
      <c r="X272" s="521"/>
      <c r="Y272" s="521"/>
      <c r="Z272" s="521"/>
      <c r="AA272" s="521"/>
      <c r="AB272" s="521"/>
      <c r="AC272" s="521"/>
      <c r="AD272" s="521"/>
    </row>
    <row r="273" spans="2:30" ht="15.75" customHeight="1" outlineLevel="1" x14ac:dyDescent="0.25">
      <c r="C273" s="501" t="s">
        <v>64</v>
      </c>
      <c r="D273" s="113" t="s">
        <v>168</v>
      </c>
      <c r="E273" s="115"/>
      <c r="F273" s="115"/>
      <c r="G273" s="115"/>
      <c r="H273" s="115"/>
      <c r="I273" s="482"/>
      <c r="J273" s="115"/>
      <c r="K273" s="483"/>
      <c r="L273" s="166"/>
      <c r="M273" s="166"/>
      <c r="N273" s="166"/>
      <c r="O273" s="166"/>
      <c r="P273" s="166"/>
      <c r="Q273" s="166"/>
      <c r="S273" s="521"/>
      <c r="T273" s="521" t="s">
        <v>419</v>
      </c>
      <c r="U273" s="521"/>
      <c r="V273" s="521"/>
      <c r="W273" s="521"/>
      <c r="X273" s="521"/>
      <c r="Y273" s="521"/>
      <c r="Z273" s="521"/>
      <c r="AA273" s="521"/>
      <c r="AB273" s="521"/>
      <c r="AC273" s="521"/>
      <c r="AD273" s="521"/>
    </row>
    <row r="274" spans="2:30" ht="15.75" customHeight="1" outlineLevel="1" x14ac:dyDescent="0.25">
      <c r="C274" s="506" t="s">
        <v>384</v>
      </c>
      <c r="D274" s="193" t="s">
        <v>168</v>
      </c>
      <c r="E274" s="507"/>
      <c r="F274" s="507"/>
      <c r="G274" s="507"/>
      <c r="H274" s="507"/>
      <c r="I274" s="508"/>
      <c r="J274" s="507"/>
      <c r="K274" s="509"/>
      <c r="L274" s="510"/>
      <c r="M274" s="510"/>
      <c r="N274" s="510"/>
      <c r="O274" s="510"/>
      <c r="P274" s="510"/>
      <c r="Q274" s="510"/>
      <c r="S274" s="521"/>
      <c r="T274" s="521"/>
      <c r="U274" s="521"/>
      <c r="V274" s="521"/>
      <c r="W274" s="521"/>
      <c r="X274" s="521"/>
      <c r="Y274" s="521"/>
      <c r="Z274" s="521"/>
      <c r="AA274" s="521"/>
      <c r="AB274" s="521"/>
      <c r="AC274" s="521"/>
      <c r="AD274" s="521"/>
    </row>
    <row r="275" spans="2:30" ht="15.75" customHeight="1" outlineLevel="1" x14ac:dyDescent="0.25">
      <c r="C275" s="69" t="s">
        <v>145</v>
      </c>
      <c r="D275" s="44" t="s">
        <v>168</v>
      </c>
      <c r="E275" s="128"/>
      <c r="F275" s="128"/>
      <c r="G275" s="128"/>
      <c r="H275" s="128"/>
      <c r="I275" s="148"/>
      <c r="J275" s="128"/>
      <c r="K275" s="149"/>
      <c r="L275" s="66"/>
      <c r="M275" s="66"/>
      <c r="N275" s="66"/>
      <c r="O275" s="66"/>
      <c r="P275" s="66"/>
      <c r="Q275" s="66"/>
      <c r="S275" s="521"/>
      <c r="T275" s="521" t="s">
        <v>420</v>
      </c>
      <c r="U275" s="521"/>
      <c r="V275" s="521"/>
      <c r="W275" s="521"/>
      <c r="X275" s="521"/>
      <c r="Y275" s="521"/>
      <c r="Z275" s="521"/>
      <c r="AA275" s="521"/>
      <c r="AB275" s="521"/>
      <c r="AC275" s="521"/>
      <c r="AD275" s="521"/>
    </row>
    <row r="276" spans="2:30" ht="15.75" customHeight="1" outlineLevel="1" x14ac:dyDescent="0.25">
      <c r="C276" s="119"/>
      <c r="G276" s="128"/>
      <c r="H276" s="128"/>
      <c r="I276" s="148"/>
      <c r="J276" s="128"/>
      <c r="K276" s="149"/>
      <c r="L276" s="121"/>
      <c r="M276" s="126"/>
      <c r="N276" s="121"/>
      <c r="O276" s="121"/>
      <c r="P276" s="121"/>
      <c r="Q276" s="121"/>
      <c r="S276" s="521"/>
      <c r="T276" s="537"/>
      <c r="U276" s="521"/>
      <c r="V276" s="521"/>
      <c r="W276" s="521"/>
      <c r="X276" s="521"/>
      <c r="Y276" s="521"/>
      <c r="Z276" s="521"/>
      <c r="AA276" s="521"/>
      <c r="AB276" s="521"/>
      <c r="AC276" s="521"/>
      <c r="AD276" s="521"/>
    </row>
    <row r="277" spans="2:30" ht="15.75" customHeight="1" outlineLevel="1" x14ac:dyDescent="0.25">
      <c r="C277" s="226" t="s">
        <v>146</v>
      </c>
      <c r="D277" s="48" t="s">
        <v>168</v>
      </c>
      <c r="G277" s="128"/>
      <c r="H277" s="128"/>
      <c r="I277" s="148"/>
      <c r="J277" s="128"/>
      <c r="K277" s="149"/>
      <c r="L277" s="121"/>
      <c r="M277" s="121"/>
      <c r="N277" s="121"/>
      <c r="O277" s="121"/>
      <c r="P277" s="121"/>
      <c r="Q277" s="121"/>
      <c r="S277" s="521"/>
      <c r="T277" s="537" t="s">
        <v>421</v>
      </c>
      <c r="U277" s="521"/>
      <c r="V277" s="521"/>
      <c r="W277" s="521"/>
      <c r="X277" s="521"/>
      <c r="Y277" s="521"/>
      <c r="Z277" s="521"/>
      <c r="AA277" s="521"/>
      <c r="AB277" s="521"/>
      <c r="AC277" s="521"/>
      <c r="AD277" s="521"/>
    </row>
    <row r="278" spans="2:30" ht="15.75" customHeight="1" outlineLevel="1" x14ac:dyDescent="0.25">
      <c r="C278" s="224" t="s">
        <v>147</v>
      </c>
      <c r="D278" s="48" t="s">
        <v>168</v>
      </c>
      <c r="G278" s="128"/>
      <c r="H278" s="128"/>
      <c r="I278" s="148"/>
      <c r="J278" s="128"/>
      <c r="K278" s="149"/>
      <c r="L278" s="121"/>
      <c r="M278" s="121"/>
      <c r="N278" s="121"/>
      <c r="O278" s="121"/>
      <c r="P278" s="121"/>
      <c r="Q278" s="121"/>
      <c r="S278" s="521"/>
      <c r="T278" s="521" t="s">
        <v>422</v>
      </c>
      <c r="U278" s="521"/>
      <c r="V278" s="521"/>
      <c r="W278" s="521"/>
      <c r="X278" s="521"/>
      <c r="Y278" s="521"/>
      <c r="Z278" s="521"/>
      <c r="AA278" s="521"/>
      <c r="AB278" s="521"/>
      <c r="AC278" s="521"/>
      <c r="AD278" s="521"/>
    </row>
    <row r="279" spans="2:30" ht="15.75" customHeight="1" outlineLevel="1" x14ac:dyDescent="0.25">
      <c r="C279" s="224" t="s">
        <v>148</v>
      </c>
      <c r="D279" s="45" t="s">
        <v>168</v>
      </c>
      <c r="E279" s="123"/>
      <c r="F279" s="123"/>
      <c r="G279" s="123"/>
      <c r="H279" s="123"/>
      <c r="I279" s="159"/>
      <c r="J279" s="123"/>
      <c r="K279" s="160"/>
      <c r="L279" s="154"/>
      <c r="M279" s="154"/>
      <c r="N279" s="154"/>
      <c r="O279" s="154"/>
      <c r="P279" s="154"/>
      <c r="Q279" s="154"/>
      <c r="S279" s="521"/>
      <c r="T279" s="521"/>
      <c r="U279" s="521"/>
      <c r="V279" s="521"/>
      <c r="W279" s="521"/>
      <c r="X279" s="521"/>
      <c r="Y279" s="521"/>
      <c r="Z279" s="521"/>
      <c r="AA279" s="521"/>
      <c r="AB279" s="521"/>
      <c r="AC279" s="521"/>
      <c r="AD279" s="521"/>
    </row>
    <row r="280" spans="2:30" ht="15.75" customHeight="1" outlineLevel="1" x14ac:dyDescent="0.25">
      <c r="C280" s="32" t="s">
        <v>149</v>
      </c>
      <c r="D280" s="44" t="s">
        <v>168</v>
      </c>
      <c r="G280" s="128"/>
      <c r="H280" s="128"/>
      <c r="I280" s="148"/>
      <c r="J280" s="128"/>
      <c r="K280" s="511"/>
      <c r="L280" s="36"/>
      <c r="M280" s="36"/>
      <c r="N280" s="36"/>
      <c r="O280" s="36"/>
      <c r="P280" s="36"/>
      <c r="Q280" s="36"/>
      <c r="S280" s="521"/>
      <c r="T280" s="521" t="s">
        <v>423</v>
      </c>
      <c r="U280" s="521"/>
      <c r="V280" s="521"/>
      <c r="W280" s="521"/>
      <c r="X280" s="521"/>
      <c r="Y280" s="521"/>
      <c r="Z280" s="521"/>
      <c r="AA280" s="521"/>
      <c r="AB280" s="521"/>
      <c r="AC280" s="521"/>
      <c r="AD280" s="521"/>
    </row>
    <row r="281" spans="2:30" ht="15.75" customHeight="1" outlineLevel="1" x14ac:dyDescent="0.25">
      <c r="C281" s="119"/>
      <c r="G281" s="128"/>
      <c r="H281" s="128"/>
      <c r="I281" s="148"/>
      <c r="J281" s="128"/>
      <c r="K281" s="149"/>
      <c r="L281" s="121"/>
      <c r="M281" s="126"/>
      <c r="N281" s="121"/>
      <c r="O281" s="121"/>
      <c r="P281" s="121"/>
      <c r="Q281" s="121"/>
      <c r="S281" s="521"/>
      <c r="T281" s="521" t="s">
        <v>424</v>
      </c>
      <c r="U281" s="521"/>
      <c r="V281" s="521"/>
      <c r="W281" s="521"/>
      <c r="X281" s="521"/>
      <c r="Y281" s="521"/>
      <c r="Z281" s="521"/>
      <c r="AA281" s="521"/>
      <c r="AB281" s="521"/>
      <c r="AC281" s="521"/>
      <c r="AD281" s="521"/>
    </row>
    <row r="282" spans="2:30" ht="15.75" customHeight="1" outlineLevel="1" x14ac:dyDescent="0.25">
      <c r="C282" s="226" t="s">
        <v>150</v>
      </c>
      <c r="D282" s="48" t="s">
        <v>168</v>
      </c>
      <c r="G282" s="128"/>
      <c r="H282" s="128"/>
      <c r="I282" s="148"/>
      <c r="J282" s="128"/>
      <c r="K282" s="149"/>
      <c r="L282" s="121"/>
      <c r="M282" s="121"/>
      <c r="N282" s="121"/>
      <c r="O282" s="121"/>
      <c r="P282" s="121"/>
      <c r="Q282" s="121"/>
      <c r="S282" s="521"/>
      <c r="T282" s="521"/>
      <c r="U282" s="521"/>
      <c r="V282" s="521"/>
      <c r="W282" s="521"/>
      <c r="X282" s="521"/>
      <c r="Y282" s="521"/>
      <c r="Z282" s="521"/>
      <c r="AA282" s="521"/>
      <c r="AB282" s="521"/>
      <c r="AC282" s="521"/>
      <c r="AD282" s="521"/>
    </row>
    <row r="283" spans="2:30" ht="15.75" customHeight="1" outlineLevel="1" x14ac:dyDescent="0.25">
      <c r="C283" s="226"/>
      <c r="D283" s="226"/>
      <c r="G283" s="128"/>
      <c r="H283" s="128"/>
      <c r="I283" s="148"/>
      <c r="J283" s="128"/>
      <c r="K283" s="149"/>
      <c r="L283" s="121"/>
      <c r="M283" s="121"/>
      <c r="N283" s="121"/>
      <c r="O283" s="121"/>
      <c r="P283" s="121"/>
      <c r="Q283" s="121"/>
      <c r="S283" s="521"/>
      <c r="T283" s="3" t="s">
        <v>425</v>
      </c>
      <c r="U283" s="521"/>
      <c r="V283" s="521"/>
      <c r="W283" s="521"/>
      <c r="X283" s="521"/>
      <c r="Y283" s="521"/>
      <c r="Z283" s="521"/>
      <c r="AA283" s="521"/>
      <c r="AB283" s="521"/>
      <c r="AC283" s="521"/>
      <c r="AD283" s="521"/>
    </row>
    <row r="284" spans="2:30" ht="15.75" customHeight="1" outlineLevel="1" x14ac:dyDescent="0.25">
      <c r="C284" s="226" t="s">
        <v>151</v>
      </c>
      <c r="D284" s="48" t="s">
        <v>168</v>
      </c>
      <c r="G284" s="128"/>
      <c r="H284" s="128"/>
      <c r="I284" s="148"/>
      <c r="J284" s="128"/>
      <c r="K284" s="149"/>
      <c r="L284" s="121"/>
      <c r="M284" s="121"/>
      <c r="N284" s="121"/>
      <c r="O284" s="121"/>
      <c r="P284" s="121"/>
      <c r="Q284" s="121"/>
      <c r="S284" s="521"/>
      <c r="T284" s="537" t="s">
        <v>426</v>
      </c>
      <c r="U284" s="521"/>
      <c r="V284" s="521"/>
      <c r="W284" s="521"/>
      <c r="X284" s="521"/>
      <c r="Y284" s="521"/>
      <c r="Z284" s="521"/>
      <c r="AA284" s="521"/>
      <c r="AB284" s="521"/>
      <c r="AC284" s="521"/>
      <c r="AD284" s="521"/>
    </row>
    <row r="285" spans="2:30" ht="15.75" customHeight="1" outlineLevel="1" x14ac:dyDescent="0.25">
      <c r="C285" s="226"/>
      <c r="D285" s="226"/>
      <c r="G285" s="128"/>
      <c r="H285" s="128"/>
      <c r="I285" s="148"/>
      <c r="J285" s="128"/>
      <c r="K285" s="149"/>
      <c r="L285" s="121"/>
      <c r="M285" s="126"/>
      <c r="N285" s="121"/>
      <c r="O285" s="121"/>
      <c r="P285" s="121"/>
      <c r="Q285" s="121"/>
      <c r="S285" s="521"/>
      <c r="T285" s="537" t="s">
        <v>427</v>
      </c>
      <c r="U285" s="521"/>
      <c r="V285" s="521"/>
      <c r="W285" s="521"/>
      <c r="X285" s="521"/>
      <c r="Y285" s="521"/>
      <c r="Z285" s="521"/>
      <c r="AA285" s="521"/>
      <c r="AB285" s="521"/>
      <c r="AC285" s="521"/>
      <c r="AD285" s="521"/>
    </row>
    <row r="286" spans="2:30" ht="15.75" customHeight="1" outlineLevel="1" x14ac:dyDescent="0.25">
      <c r="C286" s="3" t="s">
        <v>152</v>
      </c>
      <c r="D286" s="48" t="s">
        <v>168</v>
      </c>
      <c r="G286" s="128"/>
      <c r="H286" s="128"/>
      <c r="I286" s="148"/>
      <c r="J286" s="128"/>
      <c r="K286" s="149"/>
      <c r="L286" s="265"/>
      <c r="M286" s="265"/>
      <c r="N286" s="265"/>
      <c r="O286" s="265"/>
      <c r="P286" s="265"/>
      <c r="Q286" s="265"/>
      <c r="S286" s="525"/>
      <c r="T286" s="525"/>
      <c r="U286" s="525"/>
      <c r="V286" s="525"/>
      <c r="W286" s="525"/>
      <c r="X286" s="525"/>
      <c r="Y286" s="525"/>
      <c r="Z286" s="525"/>
      <c r="AA286" s="525"/>
      <c r="AB286" s="525"/>
      <c r="AC286" s="525"/>
      <c r="AD286" s="525"/>
    </row>
    <row r="287" spans="2:30" ht="15.75" customHeight="1" x14ac:dyDescent="0.25">
      <c r="C287" s="119"/>
      <c r="G287" s="128"/>
      <c r="H287" s="128"/>
      <c r="I287" s="128"/>
      <c r="J287" s="128"/>
      <c r="K287" s="128"/>
      <c r="L287" s="121"/>
      <c r="M287" s="126"/>
      <c r="N287" s="121"/>
      <c r="O287" s="121"/>
      <c r="P287" s="121"/>
      <c r="Q287" s="121"/>
      <c r="S287" s="525"/>
      <c r="T287" s="525"/>
      <c r="U287" s="525"/>
      <c r="V287" s="525"/>
      <c r="W287" s="525"/>
      <c r="X287" s="525"/>
      <c r="Y287" s="525"/>
      <c r="Z287" s="525"/>
      <c r="AA287" s="525"/>
      <c r="AB287" s="525"/>
      <c r="AC287" s="525"/>
      <c r="AD287" s="525"/>
    </row>
    <row r="288" spans="2:30" ht="15.75" customHeight="1" x14ac:dyDescent="0.25">
      <c r="B288" s="25"/>
      <c r="C288" s="26"/>
      <c r="D288" s="14"/>
      <c r="E288" s="15" t="str">
        <f>$E$82</f>
        <v>Historical:</v>
      </c>
      <c r="F288" s="16"/>
      <c r="G288" s="16"/>
      <c r="H288" s="321" t="str">
        <f>$H$82</f>
        <v>Stub:</v>
      </c>
      <c r="I288" s="17" t="str">
        <f>$I$82</f>
        <v>Transaction Adjustments:</v>
      </c>
      <c r="J288" s="16"/>
      <c r="K288" s="16"/>
      <c r="L288" s="320" t="str">
        <f>$L$82</f>
        <v>Stub:</v>
      </c>
      <c r="M288" s="15" t="str">
        <f>$M$82</f>
        <v>Post-Transaction - Projected:</v>
      </c>
      <c r="N288" s="16"/>
      <c r="O288" s="16"/>
      <c r="P288" s="16"/>
      <c r="Q288" s="16"/>
      <c r="S288" s="525"/>
      <c r="T288" s="525"/>
      <c r="U288" s="525"/>
      <c r="V288" s="525"/>
      <c r="W288" s="525"/>
      <c r="X288" s="525"/>
      <c r="Y288" s="525"/>
      <c r="Z288" s="525"/>
      <c r="AA288" s="525"/>
      <c r="AB288" s="525"/>
      <c r="AC288" s="525"/>
      <c r="AD288" s="525"/>
    </row>
    <row r="289" spans="2:33" ht="15.75" customHeight="1" x14ac:dyDescent="0.25">
      <c r="B289" s="4" t="s">
        <v>105</v>
      </c>
      <c r="C289" s="5"/>
      <c r="D289" s="35" t="str">
        <f>$D$5</f>
        <v>Units:</v>
      </c>
      <c r="E289" s="1">
        <f>$E$83</f>
        <v>43190</v>
      </c>
      <c r="F289" s="1">
        <f>$F$83</f>
        <v>43555</v>
      </c>
      <c r="G289" s="2">
        <f>$G$83</f>
        <v>43921</v>
      </c>
      <c r="H289" s="319">
        <f>$H$83</f>
        <v>44196</v>
      </c>
      <c r="I289" s="1" t="str">
        <f>$I$83</f>
        <v>Debit</v>
      </c>
      <c r="J289" s="1" t="str">
        <f>$J$83</f>
        <v>Credit</v>
      </c>
      <c r="K289" s="319">
        <f>$K$83</f>
        <v>44196</v>
      </c>
      <c r="L289" s="319">
        <f>$L$83</f>
        <v>44286</v>
      </c>
      <c r="M289" s="1">
        <f>$M$83</f>
        <v>44651</v>
      </c>
      <c r="N289" s="1">
        <f>$N$83</f>
        <v>45016</v>
      </c>
      <c r="O289" s="1">
        <f>$O$83</f>
        <v>45382</v>
      </c>
      <c r="P289" s="1">
        <f>$P$83</f>
        <v>45747</v>
      </c>
      <c r="Q289" s="324">
        <f>$Q$83</f>
        <v>46112</v>
      </c>
      <c r="S289" s="525"/>
      <c r="T289" s="525"/>
      <c r="U289" s="525"/>
      <c r="V289" s="525"/>
      <c r="W289" s="525"/>
      <c r="X289" s="525"/>
      <c r="Y289" s="525"/>
      <c r="Z289" s="525"/>
      <c r="AA289" s="525"/>
      <c r="AB289" s="525"/>
      <c r="AC289" s="525"/>
      <c r="AD289" s="525"/>
    </row>
    <row r="290" spans="2:33" ht="15.75" customHeight="1" outlineLevel="1" x14ac:dyDescent="0.25">
      <c r="C290" s="119"/>
      <c r="G290" s="128"/>
      <c r="H290" s="128"/>
      <c r="I290" s="161"/>
      <c r="J290" s="120"/>
      <c r="K290" s="162"/>
      <c r="L290" s="121"/>
      <c r="M290" s="126"/>
      <c r="N290" s="121"/>
      <c r="O290" s="121"/>
      <c r="P290" s="121"/>
      <c r="Q290" s="121"/>
    </row>
    <row r="291" spans="2:33" ht="15.75" customHeight="1" outlineLevel="1" x14ac:dyDescent="0.25">
      <c r="C291" s="119" t="s">
        <v>16</v>
      </c>
      <c r="D291" s="48" t="s">
        <v>168</v>
      </c>
      <c r="E291" s="125"/>
      <c r="F291" s="125"/>
      <c r="G291" s="153"/>
      <c r="H291" s="153"/>
      <c r="I291" s="148"/>
      <c r="J291" s="128"/>
      <c r="K291" s="149"/>
      <c r="L291" s="500"/>
      <c r="M291" s="500"/>
      <c r="N291" s="500"/>
      <c r="O291" s="500"/>
      <c r="P291" s="500"/>
      <c r="Q291" s="500"/>
      <c r="AE291" s="246"/>
      <c r="AF291" s="246"/>
      <c r="AG291" s="246"/>
    </row>
    <row r="292" spans="2:33" ht="15.75" customHeight="1" outlineLevel="1" x14ac:dyDescent="0.25">
      <c r="C292" s="119" t="s">
        <v>110</v>
      </c>
      <c r="D292" s="48" t="s">
        <v>168</v>
      </c>
      <c r="G292" s="128"/>
      <c r="H292" s="128"/>
      <c r="I292" s="148"/>
      <c r="J292" s="128"/>
      <c r="K292" s="149"/>
      <c r="L292" s="121"/>
      <c r="M292" s="121"/>
      <c r="N292" s="121"/>
      <c r="O292" s="121"/>
      <c r="P292" s="121"/>
      <c r="Q292" s="121"/>
      <c r="AE292" s="246"/>
      <c r="AF292" s="246"/>
      <c r="AG292" s="246"/>
    </row>
    <row r="293" spans="2:33" ht="15.75" customHeight="1" outlineLevel="1" x14ac:dyDescent="0.25">
      <c r="C293" s="119" t="s">
        <v>109</v>
      </c>
      <c r="D293" s="48" t="s">
        <v>168</v>
      </c>
      <c r="G293" s="128"/>
      <c r="H293" s="128"/>
      <c r="I293" s="148"/>
      <c r="J293" s="128"/>
      <c r="K293" s="149"/>
      <c r="L293" s="121"/>
      <c r="M293" s="121"/>
      <c r="N293" s="121"/>
      <c r="O293" s="121"/>
      <c r="P293" s="121"/>
      <c r="Q293" s="121"/>
      <c r="S293" s="245"/>
      <c r="T293" s="245"/>
      <c r="U293" s="245"/>
      <c r="V293" s="245"/>
      <c r="W293" s="245"/>
      <c r="X293" s="245"/>
      <c r="Y293" s="245"/>
      <c r="Z293" s="245"/>
      <c r="AA293" s="245"/>
      <c r="AB293" s="245"/>
      <c r="AC293" s="245"/>
      <c r="AD293" s="245"/>
      <c r="AE293" s="246"/>
      <c r="AF293" s="246"/>
      <c r="AG293" s="246"/>
    </row>
    <row r="294" spans="2:33" ht="15.75" customHeight="1" outlineLevel="1" x14ac:dyDescent="0.25">
      <c r="C294" s="479" t="s">
        <v>380</v>
      </c>
      <c r="D294" s="48" t="s">
        <v>168</v>
      </c>
      <c r="G294" s="128"/>
      <c r="H294" s="128"/>
      <c r="I294" s="148"/>
      <c r="J294" s="128"/>
      <c r="K294" s="149"/>
      <c r="L294" s="121"/>
      <c r="M294" s="121"/>
      <c r="N294" s="121"/>
      <c r="O294" s="121"/>
      <c r="P294" s="121"/>
      <c r="Q294" s="121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246"/>
      <c r="AF294" s="246"/>
      <c r="AG294" s="246"/>
    </row>
    <row r="295" spans="2:33" ht="15.75" customHeight="1" outlineLevel="1" x14ac:dyDescent="0.25">
      <c r="C295" s="479" t="s">
        <v>381</v>
      </c>
      <c r="D295" s="48" t="s">
        <v>168</v>
      </c>
      <c r="G295" s="128"/>
      <c r="H295" s="128"/>
      <c r="I295" s="148"/>
      <c r="J295" s="128"/>
      <c r="K295" s="149"/>
      <c r="L295" s="121"/>
      <c r="M295" s="121"/>
      <c r="N295" s="121"/>
      <c r="O295" s="121"/>
      <c r="P295" s="121"/>
      <c r="Q295" s="121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6"/>
      <c r="AF295" s="246"/>
      <c r="AG295" s="246"/>
    </row>
    <row r="296" spans="2:33" ht="15.75" customHeight="1" outlineLevel="1" x14ac:dyDescent="0.25">
      <c r="C296" s="119"/>
      <c r="G296" s="128"/>
      <c r="H296" s="128"/>
      <c r="I296" s="148"/>
      <c r="J296" s="128"/>
      <c r="K296" s="149"/>
      <c r="L296" s="121"/>
      <c r="M296" s="126"/>
      <c r="N296" s="121"/>
      <c r="O296" s="121"/>
      <c r="P296" s="121"/>
      <c r="Q296" s="121"/>
      <c r="S296" s="245"/>
      <c r="T296" s="245"/>
      <c r="U296" s="245"/>
      <c r="V296" s="245"/>
      <c r="W296" s="245"/>
      <c r="X296" s="245"/>
      <c r="Y296" s="245"/>
      <c r="Z296" s="245"/>
      <c r="AA296" s="245"/>
      <c r="AB296" s="245"/>
      <c r="AC296" s="245"/>
      <c r="AD296" s="245"/>
      <c r="AE296" s="246"/>
      <c r="AF296" s="246"/>
      <c r="AG296" s="246"/>
    </row>
    <row r="297" spans="2:33" ht="15.75" customHeight="1" outlineLevel="1" x14ac:dyDescent="0.25">
      <c r="C297" s="487" t="s">
        <v>373</v>
      </c>
      <c r="D297" s="48" t="s">
        <v>168</v>
      </c>
      <c r="E297" s="121"/>
      <c r="F297" s="121"/>
      <c r="G297" s="121"/>
      <c r="H297" s="121"/>
      <c r="I297" s="148"/>
      <c r="J297" s="128"/>
      <c r="K297" s="149"/>
      <c r="L297" s="121"/>
      <c r="M297" s="121"/>
      <c r="N297" s="121"/>
      <c r="O297" s="121"/>
      <c r="P297" s="121"/>
      <c r="Q297" s="121"/>
      <c r="S297" s="245"/>
      <c r="T297" s="247"/>
      <c r="U297" s="245"/>
      <c r="V297" s="245"/>
      <c r="W297" s="245"/>
      <c r="X297" s="245"/>
      <c r="Y297" s="245"/>
      <c r="Z297" s="245"/>
      <c r="AA297" s="245"/>
      <c r="AB297" s="245"/>
      <c r="AC297" s="245"/>
      <c r="AD297" s="246"/>
      <c r="AE297" s="246"/>
      <c r="AF297" s="246"/>
      <c r="AG297" s="246"/>
    </row>
    <row r="298" spans="2:33" ht="15.75" customHeight="1" outlineLevel="1" x14ac:dyDescent="0.25">
      <c r="C298" s="516" t="s">
        <v>374</v>
      </c>
      <c r="D298" s="188" t="s">
        <v>168</v>
      </c>
      <c r="E298" s="231"/>
      <c r="F298" s="231"/>
      <c r="G298" s="231"/>
      <c r="H298" s="231"/>
      <c r="I298" s="517"/>
      <c r="J298" s="229"/>
      <c r="K298" s="230"/>
      <c r="L298" s="231"/>
      <c r="M298" s="231"/>
      <c r="N298" s="231"/>
      <c r="O298" s="231"/>
      <c r="P298" s="231"/>
      <c r="Q298" s="231"/>
      <c r="S298" s="245"/>
      <c r="T298" s="245"/>
      <c r="U298" s="245"/>
      <c r="V298" s="245"/>
      <c r="W298" s="245"/>
      <c r="X298" s="245"/>
      <c r="Y298" s="245"/>
      <c r="Z298" s="245"/>
      <c r="AA298" s="245"/>
      <c r="AB298" s="245"/>
      <c r="AC298" s="245"/>
      <c r="AD298" s="246"/>
      <c r="AE298" s="246"/>
      <c r="AF298" s="246"/>
      <c r="AG298" s="246"/>
    </row>
    <row r="299" spans="2:33" ht="15.75" customHeight="1" outlineLevel="1" x14ac:dyDescent="0.25">
      <c r="C299" s="518" t="s">
        <v>375</v>
      </c>
      <c r="D299" s="177" t="s">
        <v>168</v>
      </c>
      <c r="E299" s="178"/>
      <c r="F299" s="178"/>
      <c r="G299" s="178"/>
      <c r="H299" s="178"/>
      <c r="I299" s="515"/>
      <c r="J299" s="227"/>
      <c r="K299" s="228"/>
      <c r="L299" s="178"/>
      <c r="M299" s="178"/>
      <c r="N299" s="178"/>
      <c r="O299" s="178"/>
      <c r="P299" s="178"/>
      <c r="Q299" s="178"/>
      <c r="S299" s="245"/>
      <c r="T299" s="245"/>
      <c r="U299" s="245"/>
      <c r="V299" s="245"/>
      <c r="W299" s="245"/>
      <c r="X299" s="245"/>
      <c r="Y299" s="245"/>
      <c r="Z299" s="245"/>
      <c r="AA299" s="245"/>
      <c r="AB299" s="245"/>
      <c r="AC299" s="245"/>
      <c r="AD299" s="246"/>
      <c r="AE299" s="246"/>
      <c r="AF299" s="246"/>
      <c r="AG299" s="246"/>
    </row>
    <row r="300" spans="2:33" ht="15.75" customHeight="1" outlineLevel="1" x14ac:dyDescent="0.25">
      <c r="C300" s="518" t="s">
        <v>329</v>
      </c>
      <c r="D300" s="177" t="s">
        <v>168</v>
      </c>
      <c r="E300" s="178"/>
      <c r="F300" s="178"/>
      <c r="G300" s="178"/>
      <c r="H300" s="178"/>
      <c r="I300" s="515"/>
      <c r="J300" s="227"/>
      <c r="K300" s="228"/>
      <c r="L300" s="178"/>
      <c r="M300" s="178"/>
      <c r="N300" s="178"/>
      <c r="O300" s="178"/>
      <c r="P300" s="178"/>
      <c r="Q300" s="178"/>
      <c r="S300" s="245"/>
      <c r="T300" s="245"/>
      <c r="U300" s="245"/>
      <c r="V300" s="245"/>
      <c r="W300" s="245"/>
      <c r="X300" s="245"/>
      <c r="Y300" s="245"/>
      <c r="Z300" s="245"/>
      <c r="AA300" s="245"/>
      <c r="AB300" s="245"/>
      <c r="AC300" s="245"/>
      <c r="AD300" s="246"/>
      <c r="AE300" s="246"/>
      <c r="AF300" s="246"/>
      <c r="AG300" s="246"/>
    </row>
    <row r="301" spans="2:33" ht="15.75" customHeight="1" outlineLevel="1" x14ac:dyDescent="0.25">
      <c r="C301" s="519" t="s">
        <v>330</v>
      </c>
      <c r="D301" s="191" t="s">
        <v>168</v>
      </c>
      <c r="E301" s="234"/>
      <c r="F301" s="234"/>
      <c r="G301" s="234"/>
      <c r="H301" s="234"/>
      <c r="I301" s="520"/>
      <c r="J301" s="232"/>
      <c r="K301" s="233"/>
      <c r="L301" s="234"/>
      <c r="M301" s="234"/>
      <c r="N301" s="234"/>
      <c r="O301" s="234"/>
      <c r="P301" s="234"/>
      <c r="Q301" s="234"/>
      <c r="S301" s="245"/>
      <c r="T301" s="245"/>
      <c r="U301" s="245"/>
      <c r="V301" s="245"/>
      <c r="W301" s="245"/>
      <c r="X301" s="245"/>
      <c r="Y301" s="245"/>
      <c r="Z301" s="245"/>
      <c r="AA301" s="245"/>
      <c r="AB301" s="245"/>
      <c r="AC301" s="245"/>
      <c r="AD301" s="246"/>
      <c r="AE301" s="246"/>
      <c r="AF301" s="246"/>
      <c r="AG301" s="246"/>
    </row>
    <row r="302" spans="2:33" ht="15.75" customHeight="1" outlineLevel="1" x14ac:dyDescent="0.25">
      <c r="C302" s="41" t="s">
        <v>141</v>
      </c>
      <c r="D302" s="106" t="s">
        <v>168</v>
      </c>
      <c r="E302" s="33"/>
      <c r="F302" s="33"/>
      <c r="G302" s="33"/>
      <c r="H302" s="33"/>
      <c r="I302" s="161"/>
      <c r="J302" s="120"/>
      <c r="K302" s="162"/>
      <c r="L302" s="33"/>
      <c r="M302" s="33"/>
      <c r="N302" s="33"/>
      <c r="O302" s="33"/>
      <c r="P302" s="33"/>
      <c r="Q302" s="33"/>
      <c r="S302" s="245"/>
      <c r="T302" s="245"/>
      <c r="U302" s="245"/>
      <c r="V302" s="245"/>
      <c r="W302" s="245"/>
      <c r="X302" s="245"/>
      <c r="Y302" s="245"/>
      <c r="Z302" s="245"/>
      <c r="AA302" s="245"/>
      <c r="AB302" s="245"/>
      <c r="AC302" s="245"/>
      <c r="AD302" s="246"/>
      <c r="AE302" s="246"/>
      <c r="AF302" s="246"/>
      <c r="AG302" s="246"/>
    </row>
    <row r="303" spans="2:33" ht="15.75" customHeight="1" outlineLevel="1" x14ac:dyDescent="0.25">
      <c r="C303" s="119"/>
      <c r="G303" s="128"/>
      <c r="H303" s="128"/>
      <c r="I303" s="148"/>
      <c r="J303" s="128"/>
      <c r="K303" s="149"/>
      <c r="L303" s="121"/>
      <c r="M303" s="126"/>
      <c r="N303" s="121"/>
      <c r="O303" s="121"/>
      <c r="P303" s="121"/>
      <c r="Q303" s="121"/>
      <c r="S303" s="245"/>
      <c r="T303" s="247"/>
      <c r="U303" s="245"/>
      <c r="V303" s="245"/>
      <c r="W303" s="245"/>
      <c r="X303" s="245"/>
      <c r="Y303" s="245"/>
      <c r="Z303" s="245"/>
      <c r="AA303" s="245"/>
      <c r="AB303" s="245"/>
      <c r="AC303" s="245"/>
      <c r="AD303" s="246"/>
      <c r="AE303" s="246"/>
      <c r="AF303" s="246"/>
      <c r="AG303" s="246"/>
    </row>
    <row r="304" spans="2:33" ht="15.75" customHeight="1" outlineLevel="1" x14ac:dyDescent="0.25">
      <c r="C304" s="479" t="s">
        <v>376</v>
      </c>
      <c r="D304" s="48" t="s">
        <v>168</v>
      </c>
      <c r="G304" s="128"/>
      <c r="H304" s="128"/>
      <c r="I304" s="148"/>
      <c r="J304" s="128"/>
      <c r="K304" s="149"/>
      <c r="L304" s="121"/>
      <c r="M304" s="121"/>
      <c r="N304" s="121"/>
      <c r="O304" s="121"/>
      <c r="P304" s="121"/>
      <c r="Q304" s="121"/>
      <c r="S304" s="245"/>
      <c r="T304" s="247"/>
      <c r="U304" s="245"/>
      <c r="V304" s="245"/>
      <c r="W304" s="245"/>
      <c r="X304" s="245"/>
      <c r="Y304" s="245"/>
      <c r="Z304" s="245"/>
      <c r="AA304" s="245"/>
      <c r="AB304" s="245"/>
      <c r="AC304" s="245"/>
      <c r="AD304" s="246"/>
      <c r="AE304" s="246"/>
      <c r="AF304" s="246"/>
      <c r="AG304" s="246"/>
    </row>
    <row r="305" spans="3:33" ht="15.75" customHeight="1" outlineLevel="1" x14ac:dyDescent="0.25">
      <c r="C305" s="119"/>
      <c r="G305" s="128"/>
      <c r="H305" s="128"/>
      <c r="I305" s="148"/>
      <c r="J305" s="128"/>
      <c r="K305" s="149"/>
      <c r="L305" s="121"/>
      <c r="M305" s="126"/>
      <c r="N305" s="121"/>
      <c r="O305" s="121"/>
      <c r="P305" s="121"/>
      <c r="Q305" s="121"/>
      <c r="S305" s="245"/>
      <c r="T305" s="247"/>
      <c r="U305" s="245"/>
      <c r="V305" s="245"/>
      <c r="W305" s="245"/>
      <c r="X305" s="245"/>
      <c r="Y305" s="245"/>
      <c r="Z305" s="245"/>
      <c r="AA305" s="245"/>
      <c r="AB305" s="245"/>
      <c r="AC305" s="245"/>
      <c r="AD305" s="246"/>
      <c r="AE305" s="246"/>
      <c r="AF305" s="246"/>
      <c r="AG305" s="246"/>
    </row>
    <row r="306" spans="3:33" ht="15.75" customHeight="1" outlineLevel="1" x14ac:dyDescent="0.25">
      <c r="C306" s="119" t="s">
        <v>116</v>
      </c>
      <c r="D306" s="44" t="s">
        <v>35</v>
      </c>
      <c r="G306" s="128"/>
      <c r="H306" s="128"/>
      <c r="I306" s="148"/>
      <c r="J306" s="128"/>
      <c r="K306" s="149"/>
      <c r="L306" s="171"/>
      <c r="M306" s="171"/>
      <c r="N306" s="171"/>
      <c r="O306" s="171"/>
      <c r="P306" s="171"/>
      <c r="Q306" s="171"/>
      <c r="S306" s="245"/>
      <c r="T306" s="245"/>
      <c r="U306" s="245"/>
      <c r="V306" s="245"/>
      <c r="W306" s="245"/>
      <c r="X306" s="245"/>
      <c r="Y306" s="245"/>
      <c r="Z306" s="245"/>
      <c r="AA306" s="245"/>
      <c r="AB306" s="245"/>
      <c r="AC306" s="245"/>
      <c r="AD306" s="246"/>
      <c r="AE306" s="246"/>
      <c r="AF306" s="246"/>
      <c r="AG306" s="246"/>
    </row>
    <row r="307" spans="3:33" ht="15.75" customHeight="1" outlineLevel="1" x14ac:dyDescent="0.25">
      <c r="C307" s="119" t="s">
        <v>113</v>
      </c>
      <c r="D307" s="44" t="s">
        <v>35</v>
      </c>
      <c r="G307" s="128"/>
      <c r="H307" s="128"/>
      <c r="I307" s="148"/>
      <c r="J307" s="128"/>
      <c r="K307" s="149"/>
      <c r="L307" s="171"/>
      <c r="M307" s="171"/>
      <c r="N307" s="171"/>
      <c r="O307" s="171"/>
      <c r="P307" s="171"/>
      <c r="Q307" s="171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46"/>
      <c r="AE307" s="246"/>
      <c r="AF307" s="246"/>
      <c r="AG307" s="246"/>
    </row>
    <row r="308" spans="3:33" ht="15.75" customHeight="1" outlineLevel="1" x14ac:dyDescent="0.25">
      <c r="C308" s="479" t="s">
        <v>378</v>
      </c>
      <c r="D308" s="44" t="s">
        <v>35</v>
      </c>
      <c r="G308" s="128"/>
      <c r="H308" s="128"/>
      <c r="I308" s="148"/>
      <c r="J308" s="128"/>
      <c r="K308" s="149"/>
      <c r="L308" s="171"/>
      <c r="M308" s="171"/>
      <c r="N308" s="171"/>
      <c r="O308" s="171"/>
      <c r="P308" s="171"/>
      <c r="Q308" s="171"/>
      <c r="S308" s="245"/>
      <c r="T308" s="245"/>
      <c r="U308" s="245"/>
      <c r="V308" s="245"/>
      <c r="W308" s="245"/>
      <c r="X308" s="245"/>
      <c r="Y308" s="245"/>
      <c r="Z308" s="245"/>
      <c r="AA308" s="245"/>
      <c r="AB308" s="245"/>
      <c r="AC308" s="245"/>
      <c r="AD308" s="246"/>
      <c r="AE308" s="246"/>
      <c r="AF308" s="246"/>
      <c r="AG308" s="246"/>
    </row>
    <row r="309" spans="3:33" ht="15.75" customHeight="1" outlineLevel="1" x14ac:dyDescent="0.25">
      <c r="C309" s="479" t="s">
        <v>379</v>
      </c>
      <c r="D309" s="44" t="s">
        <v>35</v>
      </c>
      <c r="G309" s="128"/>
      <c r="H309" s="128"/>
      <c r="I309" s="148"/>
      <c r="J309" s="128"/>
      <c r="K309" s="149"/>
      <c r="L309" s="171"/>
      <c r="M309" s="171"/>
      <c r="N309" s="171"/>
      <c r="O309" s="171"/>
      <c r="P309" s="171"/>
      <c r="Q309" s="171"/>
      <c r="S309" s="245"/>
      <c r="T309" s="247"/>
      <c r="U309" s="245"/>
      <c r="V309" s="245"/>
      <c r="W309" s="245"/>
      <c r="X309" s="245"/>
      <c r="Y309" s="245"/>
      <c r="Z309" s="245"/>
      <c r="AA309" s="245"/>
      <c r="AB309" s="245"/>
      <c r="AC309" s="245"/>
      <c r="AD309" s="246"/>
      <c r="AE309" s="246"/>
      <c r="AF309" s="246"/>
      <c r="AG309" s="246"/>
    </row>
    <row r="310" spans="3:33" ht="15.75" customHeight="1" outlineLevel="1" x14ac:dyDescent="0.25">
      <c r="C310" s="119"/>
      <c r="G310" s="128"/>
      <c r="H310" s="128"/>
      <c r="I310" s="148"/>
      <c r="J310" s="128"/>
      <c r="K310" s="149"/>
      <c r="L310" s="121"/>
      <c r="M310" s="126"/>
      <c r="N310" s="121"/>
      <c r="O310" s="121"/>
      <c r="P310" s="121"/>
      <c r="Q310" s="121"/>
      <c r="S310" s="245"/>
      <c r="T310" s="245"/>
      <c r="U310" s="245"/>
      <c r="V310" s="245"/>
      <c r="W310" s="245"/>
      <c r="X310" s="245"/>
      <c r="Y310" s="245"/>
      <c r="Z310" s="245"/>
      <c r="AA310" s="245"/>
      <c r="AB310" s="245"/>
      <c r="AC310" s="246"/>
      <c r="AD310" s="246"/>
      <c r="AE310" s="246"/>
      <c r="AF310" s="246"/>
      <c r="AG310" s="246"/>
    </row>
    <row r="311" spans="3:33" ht="15.75" customHeight="1" outlineLevel="1" x14ac:dyDescent="0.25">
      <c r="C311" s="223" t="s">
        <v>142</v>
      </c>
      <c r="D311" s="44" t="s">
        <v>35</v>
      </c>
      <c r="G311" s="128"/>
      <c r="H311" s="128"/>
      <c r="I311" s="148"/>
      <c r="J311" s="128"/>
      <c r="K311" s="149"/>
      <c r="L311" s="171"/>
      <c r="M311" s="171"/>
      <c r="N311" s="171"/>
      <c r="O311" s="171"/>
      <c r="P311" s="171"/>
      <c r="Q311" s="171"/>
      <c r="S311" s="245"/>
      <c r="T311" s="245"/>
      <c r="U311" s="245"/>
      <c r="V311" s="245"/>
      <c r="W311" s="245"/>
      <c r="X311" s="245"/>
      <c r="Y311" s="245"/>
      <c r="Z311" s="245"/>
      <c r="AA311" s="245"/>
      <c r="AB311" s="245"/>
      <c r="AC311" s="246"/>
      <c r="AD311" s="246"/>
      <c r="AE311" s="246"/>
      <c r="AF311" s="246"/>
      <c r="AG311" s="246"/>
    </row>
    <row r="312" spans="3:33" ht="15.75" customHeight="1" outlineLevel="1" x14ac:dyDescent="0.25">
      <c r="C312" s="479" t="s">
        <v>377</v>
      </c>
      <c r="D312" s="44" t="s">
        <v>35</v>
      </c>
      <c r="G312" s="128"/>
      <c r="H312" s="128"/>
      <c r="I312" s="148"/>
      <c r="J312" s="128"/>
      <c r="K312" s="149"/>
      <c r="L312" s="171"/>
      <c r="M312" s="171"/>
      <c r="N312" s="171"/>
      <c r="O312" s="171"/>
      <c r="P312" s="171"/>
      <c r="Q312" s="171"/>
      <c r="S312" s="245"/>
      <c r="T312" s="245"/>
      <c r="U312" s="245"/>
      <c r="V312" s="245"/>
      <c r="W312" s="245"/>
      <c r="X312" s="245"/>
      <c r="Y312" s="245"/>
      <c r="Z312" s="245"/>
      <c r="AA312" s="245"/>
      <c r="AB312" s="245"/>
      <c r="AC312" s="246"/>
      <c r="AD312" s="246"/>
      <c r="AE312" s="246"/>
      <c r="AF312" s="246"/>
      <c r="AG312" s="246"/>
    </row>
    <row r="313" spans="3:33" ht="15.75" customHeight="1" outlineLevel="1" x14ac:dyDescent="0.25">
      <c r="C313" s="119"/>
      <c r="G313" s="128"/>
      <c r="H313" s="128"/>
      <c r="I313" s="148"/>
      <c r="J313" s="128"/>
      <c r="K313" s="149"/>
      <c r="L313" s="121"/>
      <c r="M313" s="126"/>
      <c r="N313" s="121"/>
      <c r="O313" s="121"/>
      <c r="P313" s="121"/>
      <c r="Q313" s="121"/>
      <c r="S313" s="245"/>
      <c r="T313" s="245"/>
      <c r="U313" s="245"/>
      <c r="V313" s="245"/>
      <c r="W313" s="245"/>
      <c r="X313" s="245"/>
      <c r="Y313" s="245"/>
      <c r="Z313" s="245"/>
      <c r="AA313" s="245"/>
      <c r="AB313" s="245"/>
      <c r="AC313" s="246"/>
      <c r="AD313" s="246"/>
      <c r="AE313" s="246"/>
      <c r="AF313" s="246"/>
      <c r="AG313" s="246"/>
    </row>
    <row r="314" spans="3:33" ht="15.75" customHeight="1" outlineLevel="1" x14ac:dyDescent="0.25">
      <c r="C314" s="119" t="s">
        <v>111</v>
      </c>
      <c r="D314" s="48" t="s">
        <v>168</v>
      </c>
      <c r="G314" s="128"/>
      <c r="H314" s="128"/>
      <c r="I314" s="148"/>
      <c r="J314" s="128"/>
      <c r="K314" s="149"/>
      <c r="L314" s="121"/>
      <c r="M314" s="121"/>
      <c r="N314" s="121"/>
      <c r="O314" s="121"/>
      <c r="P314" s="121"/>
      <c r="Q314" s="121"/>
    </row>
    <row r="315" spans="3:33" ht="15.75" customHeight="1" outlineLevel="1" x14ac:dyDescent="0.25">
      <c r="C315" s="119" t="s">
        <v>112</v>
      </c>
      <c r="D315" s="48" t="s">
        <v>25</v>
      </c>
      <c r="G315" s="128"/>
      <c r="H315" s="128"/>
      <c r="I315" s="148"/>
      <c r="J315" s="128"/>
      <c r="K315" s="149"/>
      <c r="L315" s="102"/>
      <c r="M315" s="102"/>
      <c r="N315" s="102"/>
      <c r="O315" s="102"/>
      <c r="P315" s="102"/>
      <c r="Q315" s="102"/>
    </row>
    <row r="316" spans="3:33" ht="15.75" customHeight="1" outlineLevel="1" x14ac:dyDescent="0.25">
      <c r="C316" s="119"/>
      <c r="G316" s="128"/>
      <c r="H316" s="128"/>
      <c r="I316" s="148"/>
      <c r="J316" s="128"/>
      <c r="K316" s="149"/>
      <c r="L316" s="121"/>
      <c r="M316" s="126"/>
      <c r="N316" s="121"/>
      <c r="O316" s="121"/>
      <c r="P316" s="121"/>
      <c r="Q316" s="121"/>
    </row>
    <row r="317" spans="3:33" ht="15.75" customHeight="1" outlineLevel="1" x14ac:dyDescent="0.25">
      <c r="C317" s="119" t="s">
        <v>114</v>
      </c>
      <c r="D317" s="48" t="s">
        <v>25</v>
      </c>
      <c r="E317" s="102"/>
      <c r="F317" s="102"/>
      <c r="G317" s="102"/>
      <c r="H317" s="102"/>
      <c r="I317" s="148"/>
      <c r="J317" s="128"/>
      <c r="K317" s="149"/>
      <c r="L317" s="102"/>
      <c r="M317" s="102"/>
      <c r="N317" s="102"/>
      <c r="O317" s="102"/>
      <c r="P317" s="102"/>
      <c r="Q317" s="102"/>
    </row>
    <row r="318" spans="3:33" ht="15.75" customHeight="1" outlineLevel="1" x14ac:dyDescent="0.25">
      <c r="C318" s="119" t="s">
        <v>115</v>
      </c>
      <c r="D318" s="48" t="s">
        <v>25</v>
      </c>
      <c r="E318" s="172"/>
      <c r="F318" s="172"/>
      <c r="G318" s="172"/>
      <c r="H318" s="172"/>
      <c r="I318" s="148"/>
      <c r="J318" s="128"/>
      <c r="K318" s="149"/>
      <c r="L318" s="172"/>
      <c r="M318" s="172"/>
      <c r="N318" s="172"/>
      <c r="O318" s="172"/>
      <c r="P318" s="172"/>
      <c r="Q318" s="172"/>
    </row>
    <row r="319" spans="3:33" ht="15.75" customHeight="1" outlineLevel="1" x14ac:dyDescent="0.25">
      <c r="C319" s="119"/>
      <c r="G319" s="128"/>
      <c r="H319" s="128"/>
      <c r="I319" s="148"/>
      <c r="J319" s="128"/>
      <c r="K319" s="149"/>
      <c r="L319" s="121"/>
      <c r="M319" s="126"/>
      <c r="N319" s="121"/>
      <c r="O319" s="121"/>
      <c r="P319" s="121"/>
      <c r="Q319" s="121"/>
    </row>
    <row r="320" spans="3:33" ht="15.75" customHeight="1" outlineLevel="1" x14ac:dyDescent="0.25">
      <c r="C320" s="503" t="s">
        <v>387</v>
      </c>
      <c r="D320" s="48" t="s">
        <v>168</v>
      </c>
      <c r="E320" s="121"/>
      <c r="F320" s="121"/>
      <c r="G320" s="121"/>
      <c r="H320" s="128"/>
      <c r="I320" s="148"/>
      <c r="J320" s="128"/>
      <c r="K320" s="149"/>
      <c r="L320" s="121"/>
      <c r="M320" s="121"/>
      <c r="N320" s="121"/>
      <c r="O320" s="121"/>
      <c r="P320" s="121"/>
      <c r="Q320" s="121"/>
    </row>
    <row r="321" spans="2:17" ht="15.75" customHeight="1" outlineLevel="1" x14ac:dyDescent="0.25">
      <c r="C321" s="503" t="s">
        <v>389</v>
      </c>
      <c r="D321" s="48" t="s">
        <v>168</v>
      </c>
      <c r="E321" s="121"/>
      <c r="F321" s="121"/>
      <c r="G321" s="121"/>
      <c r="H321" s="128"/>
      <c r="I321" s="148"/>
      <c r="J321" s="128"/>
      <c r="K321" s="149"/>
      <c r="L321" s="121"/>
      <c r="M321" s="121"/>
      <c r="N321" s="121"/>
      <c r="O321" s="121"/>
      <c r="P321" s="121"/>
      <c r="Q321" s="121"/>
    </row>
    <row r="322" spans="2:17" ht="15.75" customHeight="1" outlineLevel="1" x14ac:dyDescent="0.25">
      <c r="C322" s="503" t="s">
        <v>390</v>
      </c>
      <c r="D322" s="48" t="s">
        <v>25</v>
      </c>
      <c r="E322" s="172"/>
      <c r="F322" s="172"/>
      <c r="G322" s="172"/>
      <c r="H322" s="128"/>
      <c r="I322" s="148"/>
      <c r="J322" s="128"/>
      <c r="K322" s="149"/>
      <c r="L322" s="172"/>
      <c r="M322" s="172"/>
      <c r="N322" s="172"/>
      <c r="O322" s="172"/>
      <c r="P322" s="172"/>
      <c r="Q322" s="172"/>
    </row>
    <row r="323" spans="2:17" ht="15.75" customHeight="1" x14ac:dyDescent="0.25">
      <c r="C323" s="119"/>
      <c r="G323" s="128"/>
      <c r="H323" s="128"/>
      <c r="I323" s="128"/>
      <c r="J323" s="128"/>
      <c r="K323" s="128"/>
      <c r="L323" s="121"/>
      <c r="M323" s="126"/>
      <c r="N323" s="121"/>
      <c r="O323" s="121"/>
      <c r="P323" s="121"/>
      <c r="Q323" s="121"/>
    </row>
    <row r="324" spans="2:17" ht="15.75" customHeight="1" x14ac:dyDescent="0.25">
      <c r="B324" s="25"/>
      <c r="C324" s="26"/>
      <c r="D324" s="14"/>
      <c r="E324" s="15" t="str">
        <f>$E$82</f>
        <v>Historical:</v>
      </c>
      <c r="F324" s="16"/>
      <c r="G324" s="16"/>
      <c r="H324" s="321" t="str">
        <f>$H$82</f>
        <v>Stub:</v>
      </c>
      <c r="I324" s="17" t="str">
        <f>$I$82</f>
        <v>Transaction Adjustments:</v>
      </c>
      <c r="J324" s="16"/>
      <c r="K324" s="16"/>
      <c r="L324" s="320" t="str">
        <f>$L$82</f>
        <v>Stub:</v>
      </c>
      <c r="M324" s="15" t="str">
        <f>$M$82</f>
        <v>Post-Transaction - Projected:</v>
      </c>
      <c r="N324" s="16"/>
      <c r="O324" s="16"/>
      <c r="P324" s="16"/>
      <c r="Q324" s="16"/>
    </row>
    <row r="325" spans="2:17" ht="15.75" customHeight="1" x14ac:dyDescent="0.25">
      <c r="B325" s="4" t="s">
        <v>96</v>
      </c>
      <c r="C325" s="5"/>
      <c r="D325" s="35" t="str">
        <f>$D$5</f>
        <v>Units:</v>
      </c>
      <c r="E325" s="1">
        <f>$E$83</f>
        <v>43190</v>
      </c>
      <c r="F325" s="1">
        <f>$F$83</f>
        <v>43555</v>
      </c>
      <c r="G325" s="2">
        <f>$G$83</f>
        <v>43921</v>
      </c>
      <c r="H325" s="319">
        <f>$H$83</f>
        <v>44196</v>
      </c>
      <c r="I325" s="1" t="str">
        <f>$I$83</f>
        <v>Debit</v>
      </c>
      <c r="J325" s="1" t="str">
        <f>$J$83</f>
        <v>Credit</v>
      </c>
      <c r="K325" s="319">
        <f>$K$83</f>
        <v>44196</v>
      </c>
      <c r="L325" s="319">
        <f>$L$83</f>
        <v>44286</v>
      </c>
      <c r="M325" s="1">
        <f>$M$83</f>
        <v>44651</v>
      </c>
      <c r="N325" s="1">
        <f>$N$83</f>
        <v>45016</v>
      </c>
      <c r="O325" s="1">
        <f>$O$83</f>
        <v>45382</v>
      </c>
      <c r="P325" s="1">
        <f>$P$83</f>
        <v>45747</v>
      </c>
      <c r="Q325" s="324">
        <f>$Q$83</f>
        <v>46112</v>
      </c>
    </row>
    <row r="326" spans="2:17" ht="15.75" customHeight="1" outlineLevel="1" x14ac:dyDescent="0.25">
      <c r="G326" s="120"/>
      <c r="H326" s="120"/>
      <c r="I326" s="161"/>
      <c r="J326" s="120"/>
      <c r="K326" s="162"/>
    </row>
    <row r="327" spans="2:17" ht="15.75" customHeight="1" outlineLevel="1" x14ac:dyDescent="0.25">
      <c r="C327" s="478" t="s">
        <v>371</v>
      </c>
      <c r="D327" s="48" t="s">
        <v>34</v>
      </c>
      <c r="G327" s="128"/>
      <c r="H327" s="128"/>
      <c r="I327" s="148"/>
      <c r="J327" s="128"/>
      <c r="K327" s="149"/>
      <c r="L327" s="473"/>
      <c r="M327" s="474"/>
      <c r="N327" s="474"/>
      <c r="O327" s="474"/>
      <c r="P327" s="474"/>
      <c r="Q327" s="474"/>
    </row>
    <row r="328" spans="2:17" ht="15.75" customHeight="1" outlineLevel="1" x14ac:dyDescent="0.25">
      <c r="G328" s="128"/>
      <c r="H328" s="128"/>
      <c r="I328" s="148"/>
      <c r="J328" s="128"/>
      <c r="K328" s="149"/>
    </row>
    <row r="329" spans="2:17" ht="15.75" customHeight="1" outlineLevel="1" x14ac:dyDescent="0.25">
      <c r="C329" s="3" t="s">
        <v>16</v>
      </c>
      <c r="D329" s="48" t="s">
        <v>168</v>
      </c>
      <c r="G329" s="128"/>
      <c r="H329" s="128"/>
      <c r="I329" s="148"/>
      <c r="J329" s="128"/>
      <c r="K329" s="149"/>
      <c r="L329" s="36"/>
      <c r="M329" s="36"/>
      <c r="N329" s="36"/>
      <c r="O329" s="36"/>
      <c r="P329" s="36"/>
      <c r="Q329" s="36"/>
    </row>
    <row r="330" spans="2:17" ht="15.75" customHeight="1" outlineLevel="1" x14ac:dyDescent="0.25">
      <c r="C330" s="119" t="s">
        <v>30</v>
      </c>
      <c r="D330" s="45" t="s">
        <v>35</v>
      </c>
      <c r="G330" s="128"/>
      <c r="H330" s="128"/>
      <c r="I330" s="148"/>
      <c r="J330" s="128"/>
      <c r="K330" s="149"/>
      <c r="L330" s="221"/>
      <c r="M330" s="470"/>
      <c r="N330" s="471"/>
      <c r="O330" s="222"/>
      <c r="P330" s="222"/>
      <c r="Q330" s="472"/>
    </row>
    <row r="331" spans="2:17" ht="15.75" customHeight="1" outlineLevel="1" x14ac:dyDescent="0.25">
      <c r="C331" s="32" t="s">
        <v>31</v>
      </c>
      <c r="D331" s="44" t="s">
        <v>168</v>
      </c>
      <c r="E331" s="120"/>
      <c r="F331" s="120"/>
      <c r="G331" s="120"/>
      <c r="H331" s="120"/>
      <c r="I331" s="161"/>
      <c r="J331" s="120"/>
      <c r="K331" s="162"/>
      <c r="L331" s="33"/>
      <c r="M331" s="33"/>
      <c r="N331" s="33"/>
      <c r="O331" s="33"/>
      <c r="P331" s="33"/>
      <c r="Q331" s="33"/>
    </row>
    <row r="332" spans="2:17" ht="15.75" customHeight="1" outlineLevel="1" x14ac:dyDescent="0.25">
      <c r="C332" s="499" t="s">
        <v>372</v>
      </c>
      <c r="D332" s="44" t="s">
        <v>168</v>
      </c>
      <c r="E332" s="128"/>
      <c r="F332" s="128"/>
      <c r="G332" s="128"/>
      <c r="H332" s="128"/>
      <c r="I332" s="148"/>
      <c r="J332" s="128"/>
      <c r="K332" s="149"/>
      <c r="L332" s="151"/>
      <c r="M332" s="151"/>
      <c r="N332" s="151"/>
      <c r="O332" s="151"/>
      <c r="P332" s="151"/>
      <c r="Q332" s="151"/>
    </row>
    <row r="333" spans="2:17" ht="15.75" customHeight="1" outlineLevel="1" x14ac:dyDescent="0.25">
      <c r="C333" s="505" t="s">
        <v>386</v>
      </c>
      <c r="D333" s="44" t="s">
        <v>168</v>
      </c>
      <c r="E333" s="128"/>
      <c r="F333" s="128"/>
      <c r="G333" s="128"/>
      <c r="H333" s="128"/>
      <c r="I333" s="148"/>
      <c r="J333" s="128"/>
      <c r="K333" s="149"/>
      <c r="L333" s="151"/>
      <c r="M333" s="151"/>
      <c r="N333" s="151"/>
      <c r="O333" s="151"/>
      <c r="P333" s="151"/>
      <c r="Q333" s="151"/>
    </row>
    <row r="334" spans="2:17" ht="15.75" customHeight="1" outlineLevel="1" x14ac:dyDescent="0.25">
      <c r="C334" s="225" t="str">
        <f>"(-) "&amp;$C$203</f>
        <v>(-) Revolver:</v>
      </c>
      <c r="D334" s="44" t="s">
        <v>168</v>
      </c>
      <c r="E334" s="128"/>
      <c r="F334" s="128"/>
      <c r="G334" s="128"/>
      <c r="H334" s="128"/>
      <c r="I334" s="148"/>
      <c r="J334" s="128"/>
      <c r="K334" s="149"/>
      <c r="L334" s="151"/>
      <c r="M334" s="151"/>
      <c r="N334" s="151"/>
      <c r="O334" s="151"/>
      <c r="P334" s="151"/>
      <c r="Q334" s="151"/>
    </row>
    <row r="335" spans="2:17" ht="15.75" customHeight="1" outlineLevel="1" x14ac:dyDescent="0.25">
      <c r="C335" s="225" t="str">
        <f>"(-) "&amp;$C$204</f>
        <v>(-) Term Loan A:</v>
      </c>
      <c r="D335" s="44" t="s">
        <v>168</v>
      </c>
      <c r="E335" s="128"/>
      <c r="F335" s="128"/>
      <c r="G335" s="128"/>
      <c r="H335" s="128"/>
      <c r="I335" s="148"/>
      <c r="J335" s="128"/>
      <c r="K335" s="149"/>
      <c r="L335" s="151"/>
      <c r="M335" s="151"/>
      <c r="N335" s="151"/>
      <c r="O335" s="151"/>
      <c r="P335" s="151"/>
      <c r="Q335" s="151"/>
    </row>
    <row r="336" spans="2:17" ht="15.75" customHeight="1" outlineLevel="1" x14ac:dyDescent="0.25">
      <c r="C336" s="225" t="str">
        <f>"(-) "&amp;$C$205</f>
        <v>(-) Term Loan B:</v>
      </c>
      <c r="D336" s="44" t="s">
        <v>168</v>
      </c>
      <c r="E336" s="128"/>
      <c r="F336" s="128"/>
      <c r="G336" s="128"/>
      <c r="H336" s="128"/>
      <c r="I336" s="148"/>
      <c r="J336" s="128"/>
      <c r="K336" s="149"/>
      <c r="L336" s="151"/>
      <c r="M336" s="151"/>
      <c r="N336" s="151"/>
      <c r="O336" s="151"/>
      <c r="P336" s="151"/>
      <c r="Q336" s="151"/>
    </row>
    <row r="337" spans="3:17" ht="15.75" customHeight="1" outlineLevel="1" x14ac:dyDescent="0.25">
      <c r="C337" s="225" t="str">
        <f>"(-) "&amp;$C$206</f>
        <v>(-) Senior Unsecured Notes:</v>
      </c>
      <c r="D337" s="44" t="s">
        <v>168</v>
      </c>
      <c r="E337" s="128"/>
      <c r="F337" s="128"/>
      <c r="G337" s="128"/>
      <c r="H337" s="128"/>
      <c r="I337" s="148"/>
      <c r="J337" s="128"/>
      <c r="K337" s="149"/>
      <c r="L337" s="151"/>
      <c r="M337" s="151"/>
      <c r="N337" s="151"/>
      <c r="O337" s="151"/>
      <c r="P337" s="151"/>
      <c r="Q337" s="151"/>
    </row>
    <row r="338" spans="3:17" ht="15.75" customHeight="1" outlineLevel="1" x14ac:dyDescent="0.25">
      <c r="C338" s="225" t="str">
        <f>"(-) "&amp;$C$207</f>
        <v>(-) Subordinated Notes:</v>
      </c>
      <c r="D338" s="44" t="s">
        <v>168</v>
      </c>
      <c r="E338" s="128"/>
      <c r="F338" s="128"/>
      <c r="G338" s="128"/>
      <c r="H338" s="128"/>
      <c r="I338" s="148"/>
      <c r="J338" s="128"/>
      <c r="K338" s="149"/>
      <c r="L338" s="151"/>
      <c r="M338" s="151"/>
      <c r="N338" s="151"/>
      <c r="O338" s="151"/>
      <c r="P338" s="151"/>
      <c r="Q338" s="151"/>
    </row>
    <row r="339" spans="3:17" ht="15.75" customHeight="1" outlineLevel="1" x14ac:dyDescent="0.25">
      <c r="C339" s="225" t="str">
        <f>"(-) "&amp;$C$208</f>
        <v>(-) Mezzanine:</v>
      </c>
      <c r="D339" s="44" t="s">
        <v>168</v>
      </c>
      <c r="E339" s="128"/>
      <c r="F339" s="128"/>
      <c r="G339" s="128"/>
      <c r="H339" s="128"/>
      <c r="I339" s="148"/>
      <c r="J339" s="128"/>
      <c r="K339" s="149"/>
      <c r="L339" s="151"/>
      <c r="M339" s="151"/>
      <c r="N339" s="151"/>
      <c r="O339" s="151"/>
      <c r="P339" s="151"/>
      <c r="Q339" s="151"/>
    </row>
    <row r="340" spans="3:17" ht="15.75" customHeight="1" outlineLevel="1" x14ac:dyDescent="0.25">
      <c r="C340" s="225" t="str">
        <f>"(-) Prepayment Penalty - "&amp;$C$206</f>
        <v>(-) Prepayment Penalty - Senior Unsecured Notes:</v>
      </c>
      <c r="D340" s="44" t="s">
        <v>168</v>
      </c>
      <c r="E340" s="128"/>
      <c r="F340" s="128"/>
      <c r="G340" s="128"/>
      <c r="H340" s="128"/>
      <c r="I340" s="148"/>
      <c r="J340" s="128"/>
      <c r="K340" s="149"/>
      <c r="L340" s="151"/>
      <c r="M340" s="151"/>
      <c r="N340" s="151"/>
      <c r="O340" s="151"/>
      <c r="P340" s="151"/>
      <c r="Q340" s="151"/>
    </row>
    <row r="341" spans="3:17" ht="15.75" customHeight="1" outlineLevel="1" x14ac:dyDescent="0.25">
      <c r="C341" s="225" t="str">
        <f>"(-) Prepayment Penalty - "&amp;$C$207</f>
        <v>(-) Prepayment Penalty - Subordinated Notes:</v>
      </c>
      <c r="D341" s="44" t="s">
        <v>168</v>
      </c>
      <c r="E341" s="128"/>
      <c r="F341" s="128"/>
      <c r="G341" s="128"/>
      <c r="H341" s="128"/>
      <c r="I341" s="148"/>
      <c r="J341" s="128"/>
      <c r="K341" s="149"/>
      <c r="L341" s="151"/>
      <c r="M341" s="151"/>
      <c r="N341" s="151"/>
      <c r="O341" s="151"/>
      <c r="P341" s="151"/>
      <c r="Q341" s="151"/>
    </row>
    <row r="342" spans="3:17" ht="15.75" customHeight="1" outlineLevel="1" x14ac:dyDescent="0.25">
      <c r="C342" s="225" t="str">
        <f>"(-) Prepayment Penalty - "&amp;$C$208</f>
        <v>(-) Prepayment Penalty - Mezzanine:</v>
      </c>
      <c r="D342" s="44" t="s">
        <v>168</v>
      </c>
      <c r="E342" s="128"/>
      <c r="F342" s="128"/>
      <c r="G342" s="128"/>
      <c r="H342" s="128"/>
      <c r="I342" s="148"/>
      <c r="J342" s="128"/>
      <c r="K342" s="149"/>
      <c r="L342" s="151"/>
      <c r="M342" s="151"/>
      <c r="N342" s="151"/>
      <c r="O342" s="151"/>
      <c r="P342" s="151"/>
      <c r="Q342" s="151"/>
    </row>
    <row r="343" spans="3:17" ht="15.75" customHeight="1" outlineLevel="1" x14ac:dyDescent="0.25">
      <c r="C343" s="225" t="str">
        <f>"(-) Equity Granted - "&amp;$C$208</f>
        <v>(-) Equity Granted - Mezzanine:</v>
      </c>
      <c r="D343" s="44" t="s">
        <v>168</v>
      </c>
      <c r="E343" s="128"/>
      <c r="F343" s="128"/>
      <c r="G343" s="128"/>
      <c r="H343" s="128"/>
      <c r="I343" s="148"/>
      <c r="J343" s="128"/>
      <c r="K343" s="149"/>
      <c r="L343" s="151"/>
      <c r="M343" s="151"/>
      <c r="N343" s="151"/>
      <c r="O343" s="151"/>
      <c r="P343" s="151"/>
      <c r="Q343" s="151"/>
    </row>
    <row r="344" spans="3:17" ht="15.75" customHeight="1" outlineLevel="1" x14ac:dyDescent="0.25">
      <c r="C344" s="286" t="s">
        <v>367</v>
      </c>
      <c r="D344" s="106" t="s">
        <v>168</v>
      </c>
      <c r="E344" s="120"/>
      <c r="F344" s="120"/>
      <c r="G344" s="120"/>
      <c r="H344" s="120"/>
      <c r="I344" s="161"/>
      <c r="J344" s="120"/>
      <c r="K344" s="162"/>
      <c r="L344" s="33"/>
      <c r="M344" s="33"/>
      <c r="N344" s="33"/>
      <c r="O344" s="33"/>
      <c r="P344" s="33"/>
      <c r="Q344" s="33"/>
    </row>
    <row r="345" spans="3:17" ht="15.75" customHeight="1" outlineLevel="1" x14ac:dyDescent="0.25">
      <c r="G345" s="128"/>
      <c r="H345" s="128"/>
      <c r="I345" s="148"/>
      <c r="J345" s="128"/>
      <c r="K345" s="149"/>
    </row>
    <row r="346" spans="3:17" ht="15.75" customHeight="1" outlineLevel="1" x14ac:dyDescent="0.25">
      <c r="C346" s="9" t="s">
        <v>317</v>
      </c>
      <c r="D346" s="118"/>
      <c r="E346" s="118"/>
      <c r="F346" s="118"/>
      <c r="G346" s="118"/>
      <c r="H346" s="118"/>
      <c r="I346" s="155"/>
      <c r="J346" s="118"/>
      <c r="K346" s="156"/>
      <c r="L346" s="118"/>
      <c r="M346" s="118"/>
      <c r="N346" s="118"/>
      <c r="O346" s="118"/>
      <c r="P346" s="118"/>
      <c r="Q346" s="118"/>
    </row>
    <row r="347" spans="3:17" ht="15.75" customHeight="1" outlineLevel="1" x14ac:dyDescent="0.25">
      <c r="C347" s="119" t="s">
        <v>33</v>
      </c>
      <c r="D347" s="44" t="s">
        <v>35</v>
      </c>
      <c r="G347" s="128"/>
      <c r="H347" s="128"/>
      <c r="I347" s="148"/>
      <c r="J347" s="128"/>
      <c r="K347" s="149"/>
      <c r="L347" s="127"/>
      <c r="M347" s="127"/>
      <c r="N347" s="127"/>
      <c r="O347" s="127"/>
      <c r="P347" s="127"/>
      <c r="Q347" s="127"/>
    </row>
    <row r="348" spans="3:17" ht="15.75" customHeight="1" outlineLevel="1" x14ac:dyDescent="0.25">
      <c r="C348" s="119" t="s">
        <v>32</v>
      </c>
      <c r="D348" s="48" t="s">
        <v>25</v>
      </c>
      <c r="G348" s="128"/>
      <c r="H348" s="128"/>
      <c r="I348" s="148"/>
      <c r="J348" s="128"/>
      <c r="K348" s="149"/>
      <c r="L348" s="60"/>
      <c r="M348" s="60"/>
      <c r="N348" s="60"/>
      <c r="O348" s="60"/>
      <c r="P348" s="60"/>
      <c r="Q348" s="60"/>
    </row>
    <row r="349" spans="3:17" ht="15.75" customHeight="1" outlineLevel="1" x14ac:dyDescent="0.25">
      <c r="G349" s="128"/>
      <c r="H349" s="128"/>
      <c r="I349" s="148"/>
      <c r="J349" s="128"/>
      <c r="K349" s="149"/>
    </row>
    <row r="350" spans="3:17" ht="15.75" customHeight="1" outlineLevel="1" x14ac:dyDescent="0.25">
      <c r="C350" s="9" t="s">
        <v>318</v>
      </c>
      <c r="D350" s="118"/>
      <c r="E350" s="118"/>
      <c r="F350" s="118"/>
      <c r="G350" s="118"/>
      <c r="H350" s="118"/>
      <c r="I350" s="155"/>
      <c r="J350" s="118"/>
      <c r="K350" s="156"/>
      <c r="L350" s="118"/>
      <c r="M350" s="118"/>
      <c r="N350" s="118"/>
      <c r="O350" s="118"/>
      <c r="P350" s="118"/>
      <c r="Q350" s="118"/>
    </row>
    <row r="351" spans="3:17" ht="15.75" customHeight="1" outlineLevel="1" x14ac:dyDescent="0.25">
      <c r="C351" s="484" t="s">
        <v>334</v>
      </c>
      <c r="D351" s="44" t="s">
        <v>168</v>
      </c>
      <c r="E351" s="115"/>
      <c r="F351" s="115"/>
      <c r="G351" s="115"/>
      <c r="H351" s="115"/>
      <c r="I351" s="482"/>
      <c r="J351" s="115"/>
      <c r="K351" s="483"/>
      <c r="L351" s="115"/>
      <c r="M351" s="115"/>
      <c r="N351" s="115"/>
      <c r="O351" s="151"/>
      <c r="P351" s="151"/>
      <c r="Q351" s="151"/>
    </row>
    <row r="352" spans="3:17" ht="15.75" customHeight="1" outlineLevel="1" x14ac:dyDescent="0.25">
      <c r="C352" s="484" t="s">
        <v>335</v>
      </c>
      <c r="D352" s="44" t="s">
        <v>168</v>
      </c>
      <c r="E352" s="115"/>
      <c r="F352" s="115"/>
      <c r="G352" s="115"/>
      <c r="H352" s="115"/>
      <c r="I352" s="482"/>
      <c r="J352" s="115"/>
      <c r="K352" s="483"/>
      <c r="L352" s="115"/>
      <c r="M352" s="115"/>
      <c r="N352" s="115"/>
      <c r="O352" s="151"/>
      <c r="P352" s="151"/>
      <c r="Q352" s="151"/>
    </row>
    <row r="353" spans="3:17" ht="15.75" customHeight="1" outlineLevel="1" x14ac:dyDescent="0.25">
      <c r="C353" s="22"/>
      <c r="D353" s="115"/>
      <c r="E353" s="115"/>
      <c r="F353" s="115"/>
      <c r="G353" s="115"/>
      <c r="H353" s="115"/>
      <c r="I353" s="482"/>
      <c r="J353" s="115"/>
      <c r="K353" s="483"/>
      <c r="L353" s="115"/>
      <c r="M353" s="115"/>
      <c r="N353" s="115"/>
      <c r="O353" s="115"/>
      <c r="P353" s="115"/>
      <c r="Q353" s="115"/>
    </row>
    <row r="354" spans="3:17" ht="15.75" customHeight="1" outlineLevel="1" x14ac:dyDescent="0.25">
      <c r="C354" s="479" t="s">
        <v>336</v>
      </c>
      <c r="D354" s="44" t="s">
        <v>168</v>
      </c>
      <c r="G354" s="128"/>
      <c r="H354" s="128"/>
      <c r="I354" s="148"/>
      <c r="J354" s="128"/>
      <c r="K354" s="149"/>
      <c r="O354" s="151"/>
      <c r="P354" s="151"/>
      <c r="Q354" s="151"/>
    </row>
    <row r="355" spans="3:17" ht="15.75" customHeight="1" outlineLevel="1" x14ac:dyDescent="0.25">
      <c r="C355" s="479" t="s">
        <v>337</v>
      </c>
      <c r="D355" s="44" t="s">
        <v>168</v>
      </c>
      <c r="G355" s="128"/>
      <c r="H355" s="128"/>
      <c r="I355" s="148"/>
      <c r="J355" s="128"/>
      <c r="K355" s="149"/>
      <c r="O355" s="151"/>
      <c r="P355" s="151"/>
      <c r="Q355" s="151"/>
    </row>
    <row r="356" spans="3:17" ht="15.75" customHeight="1" outlineLevel="1" x14ac:dyDescent="0.25">
      <c r="C356" s="32" t="s">
        <v>323</v>
      </c>
      <c r="D356" s="106" t="s">
        <v>168</v>
      </c>
      <c r="E356" s="120"/>
      <c r="F356" s="120"/>
      <c r="G356" s="120"/>
      <c r="H356" s="120"/>
      <c r="I356" s="161"/>
      <c r="J356" s="120"/>
      <c r="K356" s="162"/>
      <c r="L356" s="120"/>
      <c r="M356" s="120"/>
      <c r="N356" s="120"/>
      <c r="O356" s="33"/>
      <c r="P356" s="33"/>
      <c r="Q356" s="33"/>
    </row>
    <row r="357" spans="3:17" ht="15.75" customHeight="1" outlineLevel="1" x14ac:dyDescent="0.25">
      <c r="G357" s="128"/>
      <c r="H357" s="128"/>
      <c r="I357" s="148"/>
      <c r="J357" s="128"/>
      <c r="K357" s="149"/>
    </row>
    <row r="358" spans="3:17" ht="15.75" customHeight="1" outlineLevel="1" x14ac:dyDescent="0.25">
      <c r="C358" s="9" t="s">
        <v>106</v>
      </c>
      <c r="D358" s="118"/>
      <c r="E358" s="118"/>
      <c r="F358" s="118"/>
      <c r="G358" s="118"/>
      <c r="H358" s="118"/>
      <c r="I358" s="155"/>
      <c r="J358" s="118"/>
      <c r="K358" s="156"/>
      <c r="L358" s="118"/>
      <c r="M358" s="118"/>
      <c r="N358" s="118"/>
      <c r="O358" s="118"/>
      <c r="P358" s="118"/>
      <c r="Q358" s="118"/>
    </row>
    <row r="359" spans="3:17" ht="15.75" customHeight="1" outlineLevel="1" x14ac:dyDescent="0.25">
      <c r="C359" s="487" t="s">
        <v>342</v>
      </c>
      <c r="D359" s="48" t="s">
        <v>168</v>
      </c>
      <c r="G359" s="128"/>
      <c r="H359" s="128"/>
      <c r="I359" s="148"/>
      <c r="J359" s="128"/>
      <c r="K359" s="152"/>
      <c r="L359" s="121"/>
      <c r="M359" s="121"/>
      <c r="N359" s="121"/>
      <c r="O359" s="121"/>
      <c r="P359" s="121"/>
      <c r="Q359" s="121"/>
    </row>
    <row r="360" spans="3:17" ht="15.75" customHeight="1" outlineLevel="1" x14ac:dyDescent="0.25">
      <c r="C360" s="170" t="s">
        <v>104</v>
      </c>
      <c r="D360" s="48" t="s">
        <v>168</v>
      </c>
      <c r="G360" s="128"/>
      <c r="H360" s="128"/>
      <c r="I360" s="148"/>
      <c r="J360" s="128"/>
      <c r="K360" s="152"/>
      <c r="L360" s="151"/>
      <c r="M360" s="151"/>
      <c r="N360" s="151"/>
      <c r="O360" s="151"/>
      <c r="P360" s="151"/>
      <c r="Q360" s="151"/>
    </row>
    <row r="361" spans="3:17" ht="15.75" customHeight="1" outlineLevel="1" x14ac:dyDescent="0.25">
      <c r="C361" s="486" t="s">
        <v>282</v>
      </c>
      <c r="D361" s="48" t="s">
        <v>168</v>
      </c>
      <c r="G361" s="128"/>
      <c r="H361" s="128"/>
      <c r="I361" s="148"/>
      <c r="J361" s="128"/>
      <c r="K361" s="152"/>
      <c r="L361" s="151"/>
      <c r="M361" s="151"/>
      <c r="N361" s="151"/>
      <c r="O361" s="151"/>
      <c r="P361" s="151"/>
      <c r="Q361" s="151"/>
    </row>
    <row r="362" spans="3:17" ht="15.75" customHeight="1" outlineLevel="1" x14ac:dyDescent="0.25">
      <c r="C362" s="170" t="s">
        <v>102</v>
      </c>
      <c r="D362" s="45" t="s">
        <v>168</v>
      </c>
      <c r="G362" s="128"/>
      <c r="H362" s="128"/>
      <c r="I362" s="148"/>
      <c r="J362" s="128"/>
      <c r="K362" s="152"/>
      <c r="L362" s="151"/>
      <c r="M362" s="151"/>
      <c r="N362" s="151"/>
      <c r="O362" s="151"/>
      <c r="P362" s="151"/>
      <c r="Q362" s="154"/>
    </row>
    <row r="363" spans="3:17" ht="15.75" customHeight="1" outlineLevel="1" x14ac:dyDescent="0.25">
      <c r="C363" s="41" t="s">
        <v>103</v>
      </c>
      <c r="D363" s="48" t="s">
        <v>168</v>
      </c>
      <c r="E363" s="120"/>
      <c r="F363" s="120"/>
      <c r="G363" s="120"/>
      <c r="H363" s="120"/>
      <c r="I363" s="161"/>
      <c r="J363" s="120"/>
      <c r="K363" s="76"/>
      <c r="L363" s="33"/>
      <c r="M363" s="33"/>
      <c r="N363" s="33"/>
      <c r="O363" s="33"/>
      <c r="P363" s="33"/>
      <c r="Q363" s="66"/>
    </row>
    <row r="364" spans="3:17" ht="15.75" customHeight="1" outlineLevel="1" x14ac:dyDescent="0.25">
      <c r="G364" s="128"/>
      <c r="H364" s="128"/>
      <c r="I364" s="148"/>
      <c r="J364" s="128"/>
      <c r="K364" s="149"/>
    </row>
    <row r="365" spans="3:17" ht="15.75" customHeight="1" outlineLevel="1" x14ac:dyDescent="0.25">
      <c r="C365" s="27" t="s">
        <v>107</v>
      </c>
      <c r="D365" s="44" t="s">
        <v>35</v>
      </c>
      <c r="G365" s="128"/>
      <c r="H365" s="128"/>
      <c r="I365" s="148"/>
      <c r="J365" s="128"/>
      <c r="K365" s="489"/>
    </row>
    <row r="366" spans="3:17" ht="15.75" customHeight="1" outlineLevel="1" x14ac:dyDescent="0.25">
      <c r="C366" s="27" t="s">
        <v>108</v>
      </c>
      <c r="D366" s="48" t="s">
        <v>25</v>
      </c>
      <c r="G366" s="128"/>
      <c r="H366" s="128"/>
      <c r="I366" s="148"/>
      <c r="J366" s="128"/>
      <c r="K366" s="490"/>
    </row>
    <row r="367" spans="3:17" ht="15.75" customHeight="1" outlineLevel="1" x14ac:dyDescent="0.25">
      <c r="I367" s="148"/>
      <c r="J367" s="128"/>
      <c r="K367" s="149"/>
    </row>
    <row r="368" spans="3:17" ht="15.75" customHeight="1" outlineLevel="1" x14ac:dyDescent="0.25">
      <c r="C368" s="9" t="s">
        <v>361</v>
      </c>
      <c r="D368" s="118"/>
      <c r="E368" s="118"/>
      <c r="F368" s="118"/>
      <c r="G368" s="118"/>
      <c r="H368" s="118"/>
      <c r="I368" s="155"/>
      <c r="J368" s="118"/>
      <c r="K368" s="156"/>
      <c r="L368" s="118"/>
      <c r="M368" s="118"/>
      <c r="N368" s="118"/>
      <c r="O368" s="118"/>
      <c r="P368" s="118"/>
      <c r="Q368" s="118"/>
    </row>
    <row r="369" spans="3:17" ht="15.75" customHeight="1" outlineLevel="1" x14ac:dyDescent="0.25">
      <c r="C369" s="487" t="s">
        <v>342</v>
      </c>
      <c r="D369" s="48" t="s">
        <v>168</v>
      </c>
      <c r="G369" s="128"/>
      <c r="H369" s="128"/>
      <c r="I369" s="148"/>
      <c r="J369" s="128"/>
      <c r="K369" s="152"/>
      <c r="L369" s="121"/>
      <c r="M369" s="121"/>
      <c r="N369" s="121"/>
      <c r="O369" s="121"/>
      <c r="P369" s="121"/>
      <c r="Q369" s="121"/>
    </row>
    <row r="370" spans="3:17" ht="15.75" customHeight="1" outlineLevel="1" x14ac:dyDescent="0.25">
      <c r="C370" s="488" t="s">
        <v>343</v>
      </c>
      <c r="D370" s="48" t="s">
        <v>168</v>
      </c>
      <c r="G370" s="128"/>
      <c r="H370" s="128"/>
      <c r="I370" s="148"/>
      <c r="J370" s="128"/>
      <c r="K370" s="152"/>
      <c r="L370" s="121"/>
      <c r="M370" s="121"/>
      <c r="N370" s="121"/>
      <c r="O370" s="121"/>
      <c r="P370" s="121"/>
      <c r="Q370" s="121"/>
    </row>
    <row r="371" spans="3:17" ht="15.75" customHeight="1" outlineLevel="1" x14ac:dyDescent="0.25">
      <c r="C371" s="487" t="s">
        <v>344</v>
      </c>
      <c r="D371" s="48" t="s">
        <v>168</v>
      </c>
      <c r="G371" s="128"/>
      <c r="H371" s="128"/>
      <c r="I371" s="148"/>
      <c r="J371" s="128"/>
      <c r="K371" s="152"/>
      <c r="L371" s="121"/>
      <c r="M371" s="121"/>
      <c r="N371" s="121"/>
      <c r="O371" s="121"/>
      <c r="P371" s="121"/>
      <c r="Q371" s="121"/>
    </row>
    <row r="372" spans="3:17" ht="15.75" customHeight="1" outlineLevel="1" x14ac:dyDescent="0.25">
      <c r="C372" s="487" t="s">
        <v>345</v>
      </c>
      <c r="D372" s="48" t="s">
        <v>168</v>
      </c>
      <c r="G372" s="128"/>
      <c r="H372" s="128"/>
      <c r="I372" s="148"/>
      <c r="J372" s="128"/>
      <c r="K372" s="152"/>
      <c r="L372" s="282"/>
      <c r="M372" s="47"/>
      <c r="N372" s="47"/>
      <c r="O372" s="47"/>
      <c r="P372" s="47"/>
      <c r="Q372" s="47"/>
    </row>
    <row r="373" spans="3:17" ht="15.75" customHeight="1" outlineLevel="1" x14ac:dyDescent="0.25">
      <c r="C373" s="487" t="s">
        <v>346</v>
      </c>
      <c r="D373" s="48" t="s">
        <v>168</v>
      </c>
      <c r="G373" s="128"/>
      <c r="H373" s="128"/>
      <c r="I373" s="148"/>
      <c r="J373" s="128"/>
      <c r="K373" s="152"/>
      <c r="L373" s="151"/>
      <c r="M373" s="151"/>
      <c r="N373" s="151"/>
      <c r="O373" s="151"/>
      <c r="P373" s="151"/>
      <c r="Q373" s="151"/>
    </row>
    <row r="374" spans="3:17" ht="15.75" customHeight="1" outlineLevel="1" x14ac:dyDescent="0.25">
      <c r="C374" s="487" t="s">
        <v>347</v>
      </c>
      <c r="D374" s="45" t="s">
        <v>168</v>
      </c>
      <c r="G374" s="128"/>
      <c r="H374" s="128"/>
      <c r="I374" s="148"/>
      <c r="J374" s="128"/>
      <c r="K374" s="152"/>
      <c r="L374" s="151"/>
      <c r="M374" s="151"/>
      <c r="N374" s="151"/>
      <c r="O374" s="151"/>
      <c r="P374" s="151"/>
      <c r="Q374" s="154"/>
    </row>
    <row r="375" spans="3:17" ht="15.75" customHeight="1" outlineLevel="1" x14ac:dyDescent="0.25">
      <c r="C375" s="41" t="s">
        <v>103</v>
      </c>
      <c r="D375" s="48" t="s">
        <v>168</v>
      </c>
      <c r="E375" s="120"/>
      <c r="F375" s="120"/>
      <c r="G375" s="120"/>
      <c r="H375" s="120"/>
      <c r="I375" s="161"/>
      <c r="J375" s="120"/>
      <c r="K375" s="76"/>
      <c r="L375" s="33"/>
      <c r="M375" s="33"/>
      <c r="N375" s="33"/>
      <c r="O375" s="33"/>
      <c r="P375" s="33"/>
      <c r="Q375" s="33"/>
    </row>
    <row r="376" spans="3:17" ht="15.75" customHeight="1" outlineLevel="1" x14ac:dyDescent="0.25">
      <c r="G376" s="128"/>
      <c r="H376" s="128"/>
      <c r="I376" s="148"/>
      <c r="J376" s="128"/>
      <c r="K376" s="149"/>
    </row>
    <row r="377" spans="3:17" ht="15.75" customHeight="1" outlineLevel="1" x14ac:dyDescent="0.25">
      <c r="C377" s="27" t="s">
        <v>368</v>
      </c>
      <c r="D377" s="44" t="s">
        <v>35</v>
      </c>
      <c r="G377" s="128"/>
      <c r="H377" s="128"/>
      <c r="I377" s="148"/>
      <c r="J377" s="128"/>
      <c r="K377" s="489"/>
    </row>
    <row r="378" spans="3:17" ht="15.75" customHeight="1" outlineLevel="1" x14ac:dyDescent="0.25">
      <c r="C378" s="27" t="s">
        <v>369</v>
      </c>
      <c r="D378" s="48" t="s">
        <v>25</v>
      </c>
      <c r="G378" s="128"/>
      <c r="H378" s="128"/>
      <c r="I378" s="148"/>
      <c r="J378" s="128"/>
      <c r="K378" s="490"/>
    </row>
    <row r="379" spans="3:17" ht="15.75" customHeight="1" outlineLevel="1" x14ac:dyDescent="0.25">
      <c r="C379" s="27" t="s">
        <v>370</v>
      </c>
      <c r="D379" s="48" t="s">
        <v>25</v>
      </c>
      <c r="I379" s="148"/>
      <c r="J379" s="128"/>
      <c r="K379" s="490"/>
    </row>
    <row r="380" spans="3:17" ht="15.75" customHeight="1" outlineLevel="1" x14ac:dyDescent="0.25">
      <c r="I380" s="148"/>
      <c r="J380" s="128"/>
      <c r="K380" s="149"/>
    </row>
    <row r="381" spans="3:17" ht="15.75" customHeight="1" outlineLevel="1" x14ac:dyDescent="0.25">
      <c r="C381" s="9" t="s">
        <v>362</v>
      </c>
      <c r="D381" s="118"/>
      <c r="E381" s="118"/>
      <c r="F381" s="118"/>
      <c r="G381" s="118"/>
      <c r="H381" s="118"/>
      <c r="I381" s="155"/>
      <c r="J381" s="118"/>
      <c r="K381" s="156"/>
      <c r="L381" s="118"/>
      <c r="M381" s="118"/>
      <c r="N381" s="118"/>
      <c r="O381" s="118"/>
      <c r="P381" s="118"/>
      <c r="Q381" s="118"/>
    </row>
    <row r="382" spans="3:17" ht="15.75" customHeight="1" outlineLevel="1" x14ac:dyDescent="0.25">
      <c r="C382" s="487" t="s">
        <v>342</v>
      </c>
      <c r="D382" s="48" t="s">
        <v>168</v>
      </c>
      <c r="G382" s="128"/>
      <c r="H382" s="128"/>
      <c r="I382" s="148"/>
      <c r="J382" s="128"/>
      <c r="K382" s="152"/>
      <c r="L382" s="121"/>
      <c r="M382" s="121"/>
      <c r="N382" s="121"/>
      <c r="O382" s="121"/>
      <c r="P382" s="121"/>
      <c r="Q382" s="121"/>
    </row>
    <row r="383" spans="3:17" ht="15.75" customHeight="1" outlineLevel="1" x14ac:dyDescent="0.25">
      <c r="C383" s="487" t="s">
        <v>348</v>
      </c>
      <c r="D383" s="48" t="s">
        <v>168</v>
      </c>
      <c r="G383" s="128"/>
      <c r="H383" s="128"/>
      <c r="I383" s="148"/>
      <c r="J383" s="128"/>
      <c r="K383" s="152"/>
      <c r="L383" s="121"/>
      <c r="M383" s="121"/>
      <c r="N383" s="121"/>
      <c r="O383" s="121"/>
      <c r="P383" s="121"/>
      <c r="Q383" s="121"/>
    </row>
    <row r="384" spans="3:17" ht="15.75" customHeight="1" outlineLevel="1" x14ac:dyDescent="0.25">
      <c r="C384" s="488" t="s">
        <v>343</v>
      </c>
      <c r="D384" s="48" t="s">
        <v>168</v>
      </c>
      <c r="G384" s="128"/>
      <c r="H384" s="128"/>
      <c r="I384" s="148"/>
      <c r="J384" s="128"/>
      <c r="K384" s="152"/>
      <c r="L384" s="121"/>
      <c r="M384" s="121"/>
      <c r="N384" s="121"/>
      <c r="O384" s="121"/>
      <c r="P384" s="121"/>
      <c r="Q384" s="121"/>
    </row>
    <row r="385" spans="3:17" ht="15.75" customHeight="1" outlineLevel="1" x14ac:dyDescent="0.25">
      <c r="C385" s="487" t="s">
        <v>344</v>
      </c>
      <c r="D385" s="48" t="s">
        <v>168</v>
      </c>
      <c r="G385" s="128"/>
      <c r="H385" s="128"/>
      <c r="I385" s="148"/>
      <c r="J385" s="128"/>
      <c r="K385" s="152"/>
      <c r="L385" s="121"/>
      <c r="M385" s="121"/>
      <c r="N385" s="121"/>
      <c r="O385" s="121"/>
      <c r="P385" s="121"/>
      <c r="Q385" s="121"/>
    </row>
    <row r="386" spans="3:17" ht="15.75" customHeight="1" outlineLevel="1" x14ac:dyDescent="0.25">
      <c r="C386" s="487" t="s">
        <v>345</v>
      </c>
      <c r="D386" s="48" t="s">
        <v>168</v>
      </c>
      <c r="G386" s="128"/>
      <c r="H386" s="128"/>
      <c r="I386" s="148"/>
      <c r="J386" s="128"/>
      <c r="K386" s="152"/>
      <c r="L386" s="282"/>
      <c r="M386" s="47"/>
      <c r="N386" s="47"/>
      <c r="O386" s="47"/>
      <c r="P386" s="47"/>
      <c r="Q386" s="47"/>
    </row>
    <row r="387" spans="3:17" ht="15.75" customHeight="1" outlineLevel="1" x14ac:dyDescent="0.25">
      <c r="C387" s="487" t="s">
        <v>346</v>
      </c>
      <c r="D387" s="48" t="s">
        <v>168</v>
      </c>
      <c r="G387" s="128"/>
      <c r="H387" s="128"/>
      <c r="I387" s="148"/>
      <c r="J387" s="128"/>
      <c r="K387" s="152"/>
      <c r="L387" s="151"/>
      <c r="M387" s="151"/>
      <c r="N387" s="151"/>
      <c r="O387" s="151"/>
      <c r="P387" s="151"/>
      <c r="Q387" s="151"/>
    </row>
    <row r="388" spans="3:17" ht="15.75" customHeight="1" outlineLevel="1" x14ac:dyDescent="0.25">
      <c r="C388" s="487" t="s">
        <v>347</v>
      </c>
      <c r="D388" s="45" t="s">
        <v>168</v>
      </c>
      <c r="G388" s="128"/>
      <c r="H388" s="128"/>
      <c r="I388" s="148"/>
      <c r="J388" s="128"/>
      <c r="K388" s="152"/>
      <c r="L388" s="151"/>
      <c r="M388" s="151"/>
      <c r="N388" s="151"/>
      <c r="O388" s="151"/>
      <c r="P388" s="151"/>
      <c r="Q388" s="154"/>
    </row>
    <row r="389" spans="3:17" ht="15.75" customHeight="1" outlineLevel="1" x14ac:dyDescent="0.25">
      <c r="C389" s="41" t="s">
        <v>103</v>
      </c>
      <c r="D389" s="48" t="s">
        <v>168</v>
      </c>
      <c r="E389" s="120"/>
      <c r="F389" s="120"/>
      <c r="G389" s="120"/>
      <c r="H389" s="120"/>
      <c r="I389" s="161"/>
      <c r="J389" s="120"/>
      <c r="K389" s="76"/>
      <c r="L389" s="33"/>
      <c r="M389" s="33"/>
      <c r="N389" s="33"/>
      <c r="O389" s="33"/>
      <c r="P389" s="33"/>
      <c r="Q389" s="33"/>
    </row>
    <row r="390" spans="3:17" ht="15.75" customHeight="1" outlineLevel="1" x14ac:dyDescent="0.25">
      <c r="G390" s="128"/>
      <c r="H390" s="128"/>
      <c r="I390" s="148"/>
      <c r="J390" s="128"/>
      <c r="K390" s="149"/>
    </row>
    <row r="391" spans="3:17" ht="15.75" customHeight="1" outlineLevel="1" x14ac:dyDescent="0.25">
      <c r="C391" s="27" t="s">
        <v>350</v>
      </c>
      <c r="D391" s="44" t="s">
        <v>35</v>
      </c>
      <c r="G391" s="128"/>
      <c r="H391" s="128"/>
      <c r="I391" s="148"/>
      <c r="J391" s="128"/>
      <c r="K391" s="489"/>
    </row>
    <row r="392" spans="3:17" ht="15.75" customHeight="1" outlineLevel="1" x14ac:dyDescent="0.25">
      <c r="C392" s="27" t="s">
        <v>351</v>
      </c>
      <c r="D392" s="48" t="s">
        <v>25</v>
      </c>
      <c r="G392" s="128"/>
      <c r="H392" s="128"/>
      <c r="I392" s="148"/>
      <c r="J392" s="128"/>
      <c r="K392" s="490"/>
    </row>
    <row r="393" spans="3:17" ht="15.75" customHeight="1" outlineLevel="1" x14ac:dyDescent="0.25">
      <c r="C393" s="27" t="s">
        <v>352</v>
      </c>
      <c r="D393" s="48" t="s">
        <v>25</v>
      </c>
      <c r="I393" s="148"/>
      <c r="J393" s="128"/>
      <c r="K393" s="490"/>
    </row>
    <row r="394" spans="3:17" ht="15.75" customHeight="1" outlineLevel="1" x14ac:dyDescent="0.25">
      <c r="I394" s="148"/>
      <c r="J394" s="128"/>
      <c r="K394" s="149"/>
    </row>
    <row r="395" spans="3:17" ht="15.75" customHeight="1" outlineLevel="1" x14ac:dyDescent="0.25">
      <c r="C395" s="9" t="s">
        <v>363</v>
      </c>
      <c r="D395" s="118"/>
      <c r="E395" s="118"/>
      <c r="F395" s="118"/>
      <c r="G395" s="118"/>
      <c r="H395" s="118"/>
      <c r="I395" s="155"/>
      <c r="J395" s="118"/>
      <c r="K395" s="156"/>
      <c r="L395" s="118"/>
      <c r="M395" s="118"/>
      <c r="N395" s="118"/>
      <c r="O395" s="118"/>
      <c r="P395" s="118"/>
      <c r="Q395" s="118"/>
    </row>
    <row r="396" spans="3:17" ht="15.75" customHeight="1" outlineLevel="1" x14ac:dyDescent="0.25">
      <c r="C396" s="487" t="s">
        <v>342</v>
      </c>
      <c r="D396" s="48" t="s">
        <v>168</v>
      </c>
      <c r="G396" s="128"/>
      <c r="H396" s="128"/>
      <c r="I396" s="148"/>
      <c r="J396" s="128"/>
      <c r="K396" s="152"/>
      <c r="L396" s="121"/>
      <c r="M396" s="121"/>
      <c r="N396" s="121"/>
      <c r="O396" s="121"/>
      <c r="P396" s="121"/>
      <c r="Q396" s="121"/>
    </row>
    <row r="397" spans="3:17" ht="15.75" customHeight="1" outlineLevel="1" x14ac:dyDescent="0.25">
      <c r="C397" s="487" t="s">
        <v>348</v>
      </c>
      <c r="D397" s="48" t="s">
        <v>168</v>
      </c>
      <c r="G397" s="128"/>
      <c r="H397" s="128"/>
      <c r="I397" s="148"/>
      <c r="J397" s="128"/>
      <c r="K397" s="152"/>
      <c r="L397" s="121"/>
      <c r="M397" s="121"/>
      <c r="N397" s="121"/>
      <c r="O397" s="121"/>
      <c r="P397" s="121"/>
      <c r="Q397" s="121"/>
    </row>
    <row r="398" spans="3:17" ht="15.75" customHeight="1" outlineLevel="1" x14ac:dyDescent="0.25">
      <c r="C398" s="488" t="s">
        <v>343</v>
      </c>
      <c r="D398" s="48" t="s">
        <v>168</v>
      </c>
      <c r="G398" s="128"/>
      <c r="H398" s="128"/>
      <c r="I398" s="148"/>
      <c r="J398" s="128"/>
      <c r="K398" s="152"/>
      <c r="L398" s="121"/>
      <c r="M398" s="121"/>
      <c r="N398" s="121"/>
      <c r="O398" s="121"/>
      <c r="P398" s="121"/>
      <c r="Q398" s="121"/>
    </row>
    <row r="399" spans="3:17" ht="15.75" customHeight="1" outlineLevel="1" x14ac:dyDescent="0.25">
      <c r="C399" s="487" t="s">
        <v>344</v>
      </c>
      <c r="D399" s="48" t="s">
        <v>168</v>
      </c>
      <c r="G399" s="128"/>
      <c r="H399" s="128"/>
      <c r="I399" s="148"/>
      <c r="J399" s="128"/>
      <c r="K399" s="152"/>
      <c r="L399" s="121"/>
      <c r="M399" s="121"/>
      <c r="N399" s="121"/>
      <c r="O399" s="121"/>
      <c r="P399" s="121"/>
      <c r="Q399" s="121"/>
    </row>
    <row r="400" spans="3:17" ht="15.75" customHeight="1" outlineLevel="1" x14ac:dyDescent="0.25">
      <c r="C400" s="487" t="s">
        <v>345</v>
      </c>
      <c r="D400" s="48" t="s">
        <v>168</v>
      </c>
      <c r="G400" s="128"/>
      <c r="H400" s="128"/>
      <c r="I400" s="148"/>
      <c r="J400" s="128"/>
      <c r="K400" s="152"/>
      <c r="L400" s="282"/>
      <c r="M400" s="47"/>
      <c r="N400" s="47"/>
      <c r="O400" s="47"/>
      <c r="P400" s="47"/>
      <c r="Q400" s="47"/>
    </row>
    <row r="401" spans="2:30" ht="15.75" customHeight="1" outlineLevel="1" x14ac:dyDescent="0.25">
      <c r="C401" s="487" t="s">
        <v>346</v>
      </c>
      <c r="D401" s="48" t="s">
        <v>168</v>
      </c>
      <c r="G401" s="128"/>
      <c r="H401" s="128"/>
      <c r="I401" s="148"/>
      <c r="J401" s="128"/>
      <c r="K401" s="152"/>
      <c r="L401" s="151"/>
      <c r="M401" s="151"/>
      <c r="N401" s="151"/>
      <c r="O401" s="151"/>
      <c r="P401" s="151"/>
      <c r="Q401" s="151"/>
    </row>
    <row r="402" spans="2:30" ht="15.75" customHeight="1" outlineLevel="1" x14ac:dyDescent="0.25">
      <c r="C402" s="487" t="s">
        <v>349</v>
      </c>
      <c r="D402" s="48" t="s">
        <v>168</v>
      </c>
      <c r="G402" s="128"/>
      <c r="H402" s="128"/>
      <c r="I402" s="148"/>
      <c r="J402" s="128"/>
      <c r="K402" s="152"/>
      <c r="L402" s="151"/>
      <c r="M402" s="151"/>
      <c r="N402" s="151"/>
      <c r="O402" s="151"/>
      <c r="P402" s="151"/>
      <c r="Q402" s="151"/>
    </row>
    <row r="403" spans="2:30" ht="15.75" customHeight="1" outlineLevel="1" x14ac:dyDescent="0.25">
      <c r="C403" s="487" t="s">
        <v>347</v>
      </c>
      <c r="D403" s="45" t="s">
        <v>168</v>
      </c>
      <c r="G403" s="128"/>
      <c r="H403" s="128"/>
      <c r="I403" s="148"/>
      <c r="J403" s="128"/>
      <c r="K403" s="152"/>
      <c r="L403" s="151"/>
      <c r="M403" s="151"/>
      <c r="N403" s="151"/>
      <c r="O403" s="151"/>
      <c r="P403" s="151"/>
      <c r="Q403" s="154"/>
    </row>
    <row r="404" spans="2:30" ht="15.75" customHeight="1" outlineLevel="1" x14ac:dyDescent="0.25">
      <c r="C404" s="41" t="s">
        <v>103</v>
      </c>
      <c r="D404" s="48" t="s">
        <v>168</v>
      </c>
      <c r="E404" s="120"/>
      <c r="F404" s="120"/>
      <c r="G404" s="120"/>
      <c r="H404" s="120"/>
      <c r="I404" s="161"/>
      <c r="J404" s="120"/>
      <c r="K404" s="76"/>
      <c r="L404" s="33"/>
      <c r="M404" s="33"/>
      <c r="N404" s="33"/>
      <c r="O404" s="33"/>
      <c r="P404" s="33"/>
      <c r="Q404" s="33"/>
    </row>
    <row r="405" spans="2:30" ht="15.75" customHeight="1" outlineLevel="1" x14ac:dyDescent="0.25">
      <c r="G405" s="128"/>
      <c r="H405" s="128"/>
      <c r="I405" s="148"/>
      <c r="J405" s="128"/>
      <c r="K405" s="149"/>
    </row>
    <row r="406" spans="2:30" ht="15.75" customHeight="1" outlineLevel="1" x14ac:dyDescent="0.25">
      <c r="C406" s="27" t="s">
        <v>353</v>
      </c>
      <c r="D406" s="44" t="s">
        <v>35</v>
      </c>
      <c r="G406" s="128"/>
      <c r="H406" s="128"/>
      <c r="I406" s="148"/>
      <c r="J406" s="128"/>
      <c r="K406" s="489"/>
    </row>
    <row r="407" spans="2:30" ht="15.75" customHeight="1" outlineLevel="1" x14ac:dyDescent="0.25">
      <c r="C407" s="27" t="s">
        <v>354</v>
      </c>
      <c r="D407" s="48" t="s">
        <v>25</v>
      </c>
      <c r="G407" s="128"/>
      <c r="H407" s="128"/>
      <c r="I407" s="148"/>
      <c r="J407" s="128"/>
      <c r="K407" s="490"/>
    </row>
    <row r="408" spans="2:30" ht="15.75" customHeight="1" outlineLevel="1" x14ac:dyDescent="0.25">
      <c r="C408" s="27" t="s">
        <v>355</v>
      </c>
      <c r="D408" s="48" t="s">
        <v>25</v>
      </c>
      <c r="I408" s="148"/>
      <c r="J408" s="128"/>
      <c r="K408" s="490"/>
    </row>
    <row r="410" spans="2:30" ht="15.75" customHeight="1" x14ac:dyDescent="0.25">
      <c r="B410" s="4" t="s">
        <v>117</v>
      </c>
      <c r="C410" s="5"/>
      <c r="D410" s="6"/>
      <c r="E410" s="7"/>
      <c r="F410" s="7"/>
      <c r="G410" s="7"/>
      <c r="H410" s="7"/>
      <c r="I410" s="7"/>
      <c r="J410" s="7"/>
      <c r="K410" s="7"/>
      <c r="L410" s="7"/>
      <c r="M410" s="6"/>
      <c r="N410" s="7"/>
      <c r="O410" s="7"/>
      <c r="P410" s="7"/>
      <c r="Q410" s="323"/>
      <c r="S410" s="250"/>
      <c r="T410" s="250"/>
      <c r="U410" s="250"/>
      <c r="V410" s="250"/>
      <c r="W410" s="250"/>
      <c r="X410" s="250"/>
      <c r="Y410" s="250"/>
      <c r="Z410" s="250"/>
      <c r="AA410" s="250"/>
      <c r="AB410" s="250"/>
      <c r="AC410" s="250"/>
    </row>
    <row r="411" spans="2:30" ht="15.75" customHeight="1" outlineLevel="1" x14ac:dyDescent="0.25">
      <c r="S411" s="250"/>
      <c r="T411" s="250"/>
      <c r="U411" s="250"/>
      <c r="V411" s="250"/>
      <c r="W411" s="250"/>
      <c r="X411" s="250"/>
      <c r="Y411" s="250"/>
      <c r="Z411" s="250"/>
      <c r="AA411" s="250"/>
      <c r="AB411" s="250"/>
      <c r="AC411" s="250"/>
    </row>
    <row r="412" spans="2:30" ht="15.75" customHeight="1" outlineLevel="1" x14ac:dyDescent="0.25">
      <c r="C412" s="49"/>
      <c r="D412" s="50"/>
      <c r="E412" s="51" t="s">
        <v>356</v>
      </c>
      <c r="F412" s="52"/>
      <c r="G412" s="52"/>
      <c r="H412" s="52"/>
      <c r="I412" s="52"/>
      <c r="J412" s="52"/>
      <c r="K412" s="52"/>
      <c r="L412" s="52"/>
      <c r="M412" s="52"/>
      <c r="N412" s="53"/>
      <c r="O412" s="53"/>
      <c r="P412" s="53"/>
      <c r="Q412" s="491"/>
      <c r="S412" s="250"/>
      <c r="T412" s="250"/>
      <c r="U412" s="250"/>
      <c r="V412" s="250"/>
      <c r="W412" s="250"/>
      <c r="X412" s="250"/>
      <c r="Y412" s="250"/>
      <c r="Z412" s="250"/>
      <c r="AA412" s="250"/>
      <c r="AB412" s="250"/>
      <c r="AC412" s="250"/>
      <c r="AD412" s="246"/>
    </row>
    <row r="413" spans="2:30" ht="15.75" customHeight="1" outlineLevel="1" x14ac:dyDescent="0.25">
      <c r="C413" s="54"/>
      <c r="D413" s="55"/>
      <c r="E413" s="498"/>
      <c r="F413" s="236"/>
      <c r="G413" s="236"/>
      <c r="H413" s="493"/>
      <c r="I413" s="236"/>
      <c r="J413" s="236"/>
      <c r="K413" s="236"/>
      <c r="L413" s="236"/>
      <c r="M413" s="493"/>
      <c r="N413" s="236"/>
      <c r="O413" s="236"/>
      <c r="P413" s="236"/>
      <c r="Q413" s="497"/>
      <c r="S413" s="250"/>
      <c r="T413" s="250"/>
      <c r="U413" s="250"/>
      <c r="V413" s="250"/>
      <c r="W413" s="250"/>
      <c r="X413" s="250"/>
      <c r="Y413" s="250"/>
      <c r="Z413" s="250"/>
      <c r="AA413" s="250"/>
      <c r="AB413" s="250"/>
      <c r="AC413" s="250"/>
      <c r="AD413" s="246"/>
    </row>
    <row r="414" spans="2:30" ht="15.75" customHeight="1" outlineLevel="1" x14ac:dyDescent="0.25">
      <c r="C414" s="538" t="s">
        <v>158</v>
      </c>
      <c r="D414" s="57"/>
      <c r="E414" s="212"/>
      <c r="F414" s="212"/>
      <c r="G414" s="212"/>
      <c r="H414" s="212"/>
      <c r="I414" s="212"/>
      <c r="J414" s="212"/>
      <c r="K414" s="212"/>
      <c r="L414" s="212"/>
      <c r="M414" s="212"/>
      <c r="N414" s="212"/>
      <c r="O414" s="212"/>
      <c r="P414" s="212"/>
      <c r="Q414" s="238"/>
      <c r="R414" s="56"/>
      <c r="S414" s="250"/>
      <c r="T414" s="250"/>
      <c r="U414" s="250"/>
      <c r="V414" s="250"/>
      <c r="W414" s="250"/>
      <c r="X414" s="250"/>
      <c r="Y414" s="250"/>
      <c r="Z414" s="250"/>
      <c r="AA414" s="250"/>
      <c r="AB414" s="250"/>
      <c r="AC414" s="250"/>
      <c r="AD414" s="246"/>
    </row>
    <row r="415" spans="2:30" ht="15.75" customHeight="1" outlineLevel="1" x14ac:dyDescent="0.25">
      <c r="C415" s="539"/>
      <c r="D415" s="57"/>
      <c r="E415" s="212"/>
      <c r="F415" s="212"/>
      <c r="G415" s="212"/>
      <c r="H415" s="212"/>
      <c r="I415" s="212"/>
      <c r="J415" s="212"/>
      <c r="K415" s="212"/>
      <c r="L415" s="212"/>
      <c r="M415" s="238"/>
      <c r="N415" s="212"/>
      <c r="O415" s="212"/>
      <c r="P415" s="212"/>
      <c r="Q415" s="212"/>
      <c r="R415" s="56"/>
      <c r="S415" s="250"/>
      <c r="T415" s="250"/>
      <c r="U415" s="250"/>
      <c r="V415" s="250"/>
      <c r="W415" s="250"/>
      <c r="X415" s="250"/>
      <c r="Y415" s="250"/>
      <c r="Z415" s="250"/>
      <c r="AA415" s="250"/>
      <c r="AB415" s="250"/>
      <c r="AC415" s="250"/>
      <c r="AD415" s="246"/>
    </row>
    <row r="416" spans="2:30" ht="15.75" customHeight="1" outlineLevel="1" x14ac:dyDescent="0.25">
      <c r="C416" s="539"/>
      <c r="D416" s="57"/>
      <c r="E416" s="212"/>
      <c r="F416" s="212"/>
      <c r="G416" s="212"/>
      <c r="H416" s="238"/>
      <c r="I416" s="212"/>
      <c r="J416" s="212"/>
      <c r="K416" s="212"/>
      <c r="L416" s="212"/>
      <c r="M416" s="212"/>
      <c r="N416" s="212"/>
      <c r="O416" s="212"/>
      <c r="P416" s="212"/>
      <c r="Q416" s="212"/>
      <c r="R416" s="56"/>
      <c r="S416" s="250"/>
      <c r="T416" s="250"/>
      <c r="U416" s="250"/>
      <c r="V416" s="250"/>
      <c r="W416" s="250"/>
      <c r="X416" s="250"/>
      <c r="Y416" s="250"/>
      <c r="Z416" s="250"/>
      <c r="AA416" s="250"/>
      <c r="AB416" s="250"/>
      <c r="AC416" s="250"/>
      <c r="AD416" s="246"/>
    </row>
    <row r="417" spans="3:30" ht="15.75" customHeight="1" outlineLevel="1" x14ac:dyDescent="0.25">
      <c r="C417" s="540"/>
      <c r="D417" s="58"/>
      <c r="E417" s="238"/>
      <c r="F417" s="212"/>
      <c r="G417" s="212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56"/>
      <c r="S417" s="250"/>
      <c r="T417" s="250"/>
      <c r="U417" s="250"/>
      <c r="V417" s="250"/>
      <c r="W417" s="250"/>
      <c r="X417" s="250"/>
      <c r="Y417" s="250"/>
      <c r="Z417" s="250"/>
      <c r="AA417" s="250"/>
      <c r="AB417" s="250"/>
      <c r="AC417" s="250"/>
      <c r="AD417" s="246"/>
    </row>
    <row r="418" spans="3:30" ht="15.75" customHeight="1" outlineLevel="1" x14ac:dyDescent="0.25">
      <c r="S418" s="250"/>
      <c r="T418" s="250"/>
      <c r="U418" s="250"/>
      <c r="V418" s="250"/>
      <c r="W418" s="250"/>
      <c r="X418" s="250"/>
      <c r="Y418" s="250"/>
      <c r="Z418" s="250"/>
      <c r="AA418" s="250"/>
      <c r="AB418" s="250"/>
      <c r="AC418" s="250"/>
      <c r="AD418" s="246"/>
    </row>
    <row r="419" spans="3:30" ht="15.75" customHeight="1" outlineLevel="1" x14ac:dyDescent="0.25">
      <c r="C419" s="49"/>
      <c r="D419" s="50"/>
      <c r="E419" s="51" t="s">
        <v>357</v>
      </c>
      <c r="F419" s="52"/>
      <c r="G419" s="52"/>
      <c r="H419" s="52"/>
      <c r="I419" s="52"/>
      <c r="J419" s="52"/>
      <c r="K419" s="52"/>
      <c r="L419" s="52"/>
      <c r="M419" s="52"/>
      <c r="N419" s="53"/>
      <c r="O419" s="53"/>
      <c r="P419" s="53"/>
      <c r="Q419" s="53"/>
      <c r="S419" s="250"/>
      <c r="T419" s="250"/>
      <c r="U419" s="250"/>
      <c r="V419" s="250"/>
      <c r="W419" s="250"/>
      <c r="X419" s="250"/>
      <c r="Y419" s="250"/>
      <c r="Z419" s="250"/>
      <c r="AA419" s="250"/>
      <c r="AB419" s="250"/>
      <c r="AC419" s="250"/>
      <c r="AD419" s="246"/>
    </row>
    <row r="420" spans="3:30" ht="15.75" customHeight="1" outlineLevel="1" x14ac:dyDescent="0.25">
      <c r="C420" s="54"/>
      <c r="D420" s="55"/>
      <c r="E420" s="235"/>
      <c r="F420" s="236"/>
      <c r="G420" s="236"/>
      <c r="H420" s="236"/>
      <c r="I420" s="236"/>
      <c r="J420" s="236"/>
      <c r="K420" s="236"/>
      <c r="L420" s="493"/>
      <c r="M420" s="236"/>
      <c r="N420" s="236"/>
      <c r="O420" s="236"/>
      <c r="P420" s="236"/>
      <c r="Q420" s="237"/>
      <c r="S420" s="250"/>
      <c r="T420" s="250"/>
      <c r="U420" s="250"/>
      <c r="V420" s="250"/>
      <c r="W420" s="250"/>
      <c r="X420" s="250"/>
      <c r="Y420" s="250"/>
      <c r="Z420" s="250"/>
      <c r="AA420" s="250"/>
      <c r="AB420" s="250"/>
      <c r="AC420" s="250"/>
      <c r="AD420" s="246"/>
    </row>
    <row r="421" spans="3:30" ht="15.75" customHeight="1" outlineLevel="1" x14ac:dyDescent="0.25">
      <c r="C421" s="538" t="str">
        <f>$C$414</f>
        <v>Operating Scenario:</v>
      </c>
      <c r="D421" s="103"/>
      <c r="E421" s="212"/>
      <c r="F421" s="212"/>
      <c r="G421" s="212"/>
      <c r="H421" s="212"/>
      <c r="I421" s="212"/>
      <c r="J421" s="212"/>
      <c r="K421" s="212"/>
      <c r="L421" s="238"/>
      <c r="M421" s="212"/>
      <c r="N421" s="212"/>
      <c r="O421" s="212"/>
      <c r="P421" s="212"/>
      <c r="Q421" s="212"/>
      <c r="S421" s="250"/>
      <c r="T421" s="250"/>
      <c r="U421" s="250"/>
      <c r="V421" s="250"/>
      <c r="W421" s="250"/>
      <c r="X421" s="250"/>
      <c r="Y421" s="250"/>
      <c r="Z421" s="250"/>
      <c r="AA421" s="250"/>
      <c r="AB421" s="250"/>
      <c r="AC421" s="250"/>
      <c r="AD421" s="246"/>
    </row>
    <row r="422" spans="3:30" ht="15.75" customHeight="1" outlineLevel="1" x14ac:dyDescent="0.25">
      <c r="C422" s="539"/>
      <c r="D422" s="103"/>
      <c r="E422" s="212"/>
      <c r="F422" s="212"/>
      <c r="G422" s="212"/>
      <c r="H422" s="212"/>
      <c r="I422" s="212"/>
      <c r="J422" s="212"/>
      <c r="K422" s="212"/>
      <c r="L422" s="238"/>
      <c r="M422" s="212"/>
      <c r="N422" s="212"/>
      <c r="O422" s="212"/>
      <c r="P422" s="212"/>
      <c r="Q422" s="212"/>
      <c r="S422" s="250"/>
      <c r="T422" s="250"/>
      <c r="U422" s="250"/>
      <c r="V422" s="250"/>
      <c r="W422" s="250"/>
      <c r="X422" s="250"/>
      <c r="Y422" s="250"/>
      <c r="Z422" s="250"/>
      <c r="AA422" s="250"/>
      <c r="AB422" s="250"/>
      <c r="AC422" s="250"/>
      <c r="AD422" s="246"/>
    </row>
    <row r="423" spans="3:30" ht="15.75" customHeight="1" outlineLevel="1" x14ac:dyDescent="0.25">
      <c r="C423" s="539"/>
      <c r="D423" s="103"/>
      <c r="E423" s="212"/>
      <c r="F423" s="212"/>
      <c r="G423" s="212"/>
      <c r="H423" s="212"/>
      <c r="I423" s="212"/>
      <c r="J423" s="212"/>
      <c r="K423" s="212"/>
      <c r="L423" s="238"/>
      <c r="M423" s="212"/>
      <c r="N423" s="212"/>
      <c r="O423" s="212"/>
      <c r="P423" s="212"/>
      <c r="Q423" s="212"/>
      <c r="S423" s="250"/>
      <c r="T423" s="250"/>
      <c r="U423" s="250"/>
      <c r="V423" s="250"/>
      <c r="W423" s="250"/>
      <c r="X423" s="250"/>
      <c r="Y423" s="250"/>
      <c r="Z423" s="250"/>
      <c r="AA423" s="250"/>
      <c r="AB423" s="250"/>
      <c r="AC423" s="250"/>
      <c r="AD423" s="246"/>
    </row>
    <row r="424" spans="3:30" ht="15.75" customHeight="1" outlineLevel="1" x14ac:dyDescent="0.25">
      <c r="C424" s="540"/>
      <c r="D424" s="249"/>
      <c r="E424" s="212"/>
      <c r="F424" s="212"/>
      <c r="G424" s="212"/>
      <c r="H424" s="212"/>
      <c r="I424" s="212"/>
      <c r="J424" s="212"/>
      <c r="K424" s="212"/>
      <c r="L424" s="238"/>
      <c r="M424" s="212"/>
      <c r="N424" s="212"/>
      <c r="O424" s="212"/>
      <c r="P424" s="212"/>
      <c r="Q424" s="212"/>
      <c r="S424" s="250"/>
      <c r="T424" s="250"/>
      <c r="U424" s="250"/>
      <c r="V424" s="250"/>
      <c r="W424" s="250"/>
      <c r="X424" s="250"/>
      <c r="Y424" s="250"/>
      <c r="Z424" s="250"/>
      <c r="AA424" s="250"/>
      <c r="AB424" s="250"/>
      <c r="AC424" s="250"/>
      <c r="AD424" s="246"/>
    </row>
    <row r="425" spans="3:30" ht="15.75" customHeight="1" outlineLevel="1" x14ac:dyDescent="0.25">
      <c r="S425" s="250"/>
      <c r="T425" s="250"/>
      <c r="U425" s="250"/>
      <c r="V425" s="250"/>
      <c r="W425" s="250"/>
      <c r="X425" s="250"/>
      <c r="Y425" s="250"/>
      <c r="Z425" s="250"/>
      <c r="AA425" s="250"/>
      <c r="AB425" s="250"/>
      <c r="AC425" s="250"/>
      <c r="AD425" s="246"/>
    </row>
    <row r="426" spans="3:30" ht="15.75" customHeight="1" outlineLevel="1" x14ac:dyDescent="0.25">
      <c r="C426" s="49"/>
      <c r="D426" s="50"/>
      <c r="E426" s="51" t="s">
        <v>101</v>
      </c>
      <c r="F426" s="52"/>
      <c r="G426" s="53"/>
      <c r="S426" s="250"/>
      <c r="T426" s="251"/>
      <c r="U426" s="250"/>
      <c r="V426" s="250"/>
      <c r="W426" s="250"/>
      <c r="X426" s="250"/>
      <c r="Y426" s="250"/>
      <c r="Z426" s="250"/>
      <c r="AA426" s="250"/>
      <c r="AB426" s="250"/>
      <c r="AC426" s="250"/>
      <c r="AD426" s="246"/>
    </row>
    <row r="427" spans="3:30" ht="15.75" customHeight="1" outlineLevel="1" x14ac:dyDescent="0.25">
      <c r="C427" s="54"/>
      <c r="D427" s="55"/>
      <c r="E427" s="494"/>
      <c r="F427" s="494"/>
      <c r="G427" s="495"/>
      <c r="T427" s="246"/>
      <c r="U427" s="246"/>
      <c r="V427" s="246"/>
      <c r="W427" s="246"/>
      <c r="X427" s="246"/>
      <c r="Y427" s="246"/>
      <c r="Z427" s="246"/>
      <c r="AA427" s="246"/>
      <c r="AB427" s="246"/>
      <c r="AC427" s="246"/>
      <c r="AD427" s="246"/>
    </row>
    <row r="428" spans="3:30" ht="15.75" customHeight="1" outlineLevel="1" x14ac:dyDescent="0.25">
      <c r="C428" s="538" t="str">
        <f>$C$421</f>
        <v>Operating Scenario:</v>
      </c>
      <c r="D428" s="103"/>
      <c r="E428" s="212"/>
      <c r="F428" s="212"/>
      <c r="G428" s="238"/>
      <c r="T428" s="246"/>
      <c r="U428" s="246"/>
      <c r="V428" s="246"/>
      <c r="W428" s="246"/>
      <c r="X428" s="246"/>
      <c r="Y428" s="246"/>
      <c r="Z428" s="246"/>
      <c r="AA428" s="246"/>
      <c r="AB428" s="246"/>
      <c r="AC428" s="246"/>
      <c r="AD428" s="246"/>
    </row>
    <row r="429" spans="3:30" ht="15.75" customHeight="1" outlineLevel="1" x14ac:dyDescent="0.25">
      <c r="C429" s="539"/>
      <c r="D429" s="103"/>
      <c r="E429" s="212"/>
      <c r="F429" s="212"/>
      <c r="G429" s="238"/>
      <c r="T429" s="246"/>
      <c r="U429" s="246"/>
      <c r="V429" s="246"/>
      <c r="W429" s="246"/>
      <c r="X429" s="246"/>
      <c r="Y429" s="246"/>
      <c r="Z429" s="246"/>
      <c r="AA429" s="246"/>
      <c r="AB429" s="246"/>
      <c r="AC429" s="246"/>
      <c r="AD429" s="246"/>
    </row>
    <row r="430" spans="3:30" ht="15.75" customHeight="1" outlineLevel="1" x14ac:dyDescent="0.25">
      <c r="C430" s="539"/>
      <c r="D430" s="103"/>
      <c r="E430" s="212"/>
      <c r="F430" s="212"/>
      <c r="G430" s="238"/>
      <c r="T430" s="246"/>
      <c r="U430" s="246"/>
      <c r="V430" s="246"/>
      <c r="W430" s="246"/>
      <c r="X430" s="246"/>
      <c r="Y430" s="246"/>
      <c r="Z430" s="246"/>
      <c r="AA430" s="246"/>
      <c r="AB430" s="246"/>
      <c r="AC430" s="246"/>
      <c r="AD430" s="246"/>
    </row>
    <row r="431" spans="3:30" ht="15.75" customHeight="1" outlineLevel="1" x14ac:dyDescent="0.25">
      <c r="C431" s="540"/>
      <c r="D431" s="249"/>
      <c r="E431" s="212"/>
      <c r="F431" s="212"/>
      <c r="G431" s="238"/>
      <c r="T431" s="246"/>
      <c r="U431" s="246"/>
      <c r="V431" s="246"/>
      <c r="W431" s="246"/>
      <c r="X431" s="246"/>
      <c r="Y431" s="246"/>
      <c r="Z431" s="246"/>
      <c r="AA431" s="246"/>
      <c r="AB431" s="246"/>
      <c r="AC431" s="246"/>
      <c r="AD431" s="246"/>
    </row>
    <row r="432" spans="3:30" ht="15.75" customHeight="1" x14ac:dyDescent="0.25">
      <c r="T432" s="248"/>
      <c r="U432" s="246"/>
      <c r="V432" s="246"/>
      <c r="W432" s="246"/>
      <c r="X432" s="246"/>
      <c r="Y432" s="246"/>
      <c r="Z432" s="246"/>
      <c r="AA432" s="246"/>
      <c r="AB432" s="246"/>
      <c r="AC432" s="246"/>
      <c r="AD432" s="246"/>
    </row>
    <row r="433" spans="2:30" ht="15.75" customHeight="1" x14ac:dyDescent="0.25">
      <c r="B433" s="4" t="s">
        <v>364</v>
      </c>
      <c r="C433" s="5"/>
      <c r="D433" s="6"/>
      <c r="E433" s="7"/>
      <c r="F433" s="7"/>
      <c r="G433" s="7"/>
      <c r="H433" s="7"/>
      <c r="I433" s="7"/>
      <c r="J433" s="7"/>
      <c r="K433" s="7"/>
      <c r="L433" s="7"/>
      <c r="M433" s="6"/>
      <c r="N433" s="7"/>
      <c r="O433" s="7"/>
      <c r="P433" s="7"/>
      <c r="Q433" s="323"/>
      <c r="T433" s="246"/>
      <c r="U433" s="246"/>
      <c r="V433" s="246"/>
      <c r="W433" s="246"/>
      <c r="X433" s="246"/>
      <c r="Y433" s="246"/>
      <c r="Z433" s="246"/>
      <c r="AA433" s="246"/>
      <c r="AB433" s="246"/>
      <c r="AC433" s="246"/>
      <c r="AD433" s="246"/>
    </row>
    <row r="434" spans="2:30" ht="15.75" customHeight="1" outlineLevel="1" x14ac:dyDescent="0.25">
      <c r="T434" s="246"/>
      <c r="U434" s="246"/>
      <c r="V434" s="246"/>
      <c r="W434" s="246"/>
      <c r="X434" s="246"/>
      <c r="Y434" s="246"/>
      <c r="Z434" s="246"/>
      <c r="AA434" s="246"/>
      <c r="AB434" s="246"/>
      <c r="AC434" s="246"/>
      <c r="AD434" s="246"/>
    </row>
    <row r="435" spans="2:30" ht="15.75" customHeight="1" outlineLevel="1" x14ac:dyDescent="0.25">
      <c r="C435" s="3" t="s">
        <v>365</v>
      </c>
      <c r="I435" s="3" t="s">
        <v>366</v>
      </c>
      <c r="T435" s="246"/>
      <c r="U435" s="246"/>
      <c r="V435" s="246"/>
      <c r="W435" s="246"/>
      <c r="X435" s="246"/>
      <c r="Y435" s="246"/>
      <c r="Z435" s="246"/>
      <c r="AA435" s="246"/>
      <c r="AB435" s="246"/>
      <c r="AC435" s="246"/>
      <c r="AD435" s="246"/>
    </row>
    <row r="436" spans="2:30" ht="15.75" customHeight="1" outlineLevel="1" x14ac:dyDescent="0.25">
      <c r="T436" s="246"/>
      <c r="U436" s="246"/>
      <c r="V436" s="246"/>
      <c r="W436" s="246"/>
      <c r="X436" s="246"/>
      <c r="Y436" s="246"/>
      <c r="Z436" s="246"/>
      <c r="AA436" s="246"/>
      <c r="AB436" s="246"/>
      <c r="AC436" s="246"/>
      <c r="AD436" s="246"/>
    </row>
    <row r="437" spans="2:30" ht="15.75" customHeight="1" outlineLevel="1" x14ac:dyDescent="0.25">
      <c r="C437" s="49"/>
      <c r="D437" s="50"/>
      <c r="E437" s="51" t="s">
        <v>101</v>
      </c>
      <c r="F437" s="52"/>
      <c r="G437" s="53"/>
      <c r="I437" s="49"/>
      <c r="J437" s="50"/>
      <c r="K437" s="51" t="s">
        <v>101</v>
      </c>
      <c r="L437" s="52"/>
      <c r="M437" s="53"/>
      <c r="T437" s="246"/>
      <c r="U437" s="246"/>
      <c r="V437" s="246"/>
      <c r="W437" s="246"/>
      <c r="X437" s="246"/>
      <c r="Y437" s="246"/>
      <c r="Z437" s="246"/>
      <c r="AA437" s="246"/>
      <c r="AB437" s="246"/>
      <c r="AC437" s="246"/>
      <c r="AD437" s="246"/>
    </row>
    <row r="438" spans="2:30" ht="15.75" customHeight="1" outlineLevel="1" x14ac:dyDescent="0.25">
      <c r="C438" s="54"/>
      <c r="D438" s="55"/>
      <c r="E438" s="494"/>
      <c r="F438" s="494"/>
      <c r="G438" s="495"/>
      <c r="I438" s="54"/>
      <c r="J438" s="55"/>
      <c r="K438" s="494"/>
      <c r="L438" s="494"/>
      <c r="M438" s="495"/>
      <c r="T438" s="246"/>
      <c r="U438" s="246"/>
      <c r="V438" s="246"/>
      <c r="W438" s="246"/>
      <c r="X438" s="246"/>
      <c r="Y438" s="246"/>
      <c r="Z438" s="246"/>
      <c r="AA438" s="246"/>
      <c r="AB438" s="246"/>
      <c r="AC438" s="246"/>
      <c r="AD438" s="246"/>
    </row>
    <row r="439" spans="2:30" ht="15.75" customHeight="1" outlineLevel="1" x14ac:dyDescent="0.25">
      <c r="C439" s="538" t="str">
        <f>$C$421</f>
        <v>Operating Scenario:</v>
      </c>
      <c r="D439" s="103"/>
      <c r="E439" s="212"/>
      <c r="F439" s="212"/>
      <c r="G439" s="238"/>
      <c r="I439" s="538" t="str">
        <f>$C$421</f>
        <v>Operating Scenario:</v>
      </c>
      <c r="J439" s="103"/>
      <c r="K439" s="212"/>
      <c r="L439" s="212"/>
      <c r="M439" s="238"/>
      <c r="T439" s="246"/>
      <c r="U439" s="246"/>
      <c r="V439" s="246"/>
      <c r="W439" s="246"/>
      <c r="X439" s="246"/>
      <c r="Y439" s="246"/>
      <c r="Z439" s="246"/>
      <c r="AA439" s="246"/>
      <c r="AB439" s="246"/>
      <c r="AC439" s="246"/>
      <c r="AD439" s="246"/>
    </row>
    <row r="440" spans="2:30" ht="15.75" customHeight="1" outlineLevel="1" x14ac:dyDescent="0.25">
      <c r="C440" s="539"/>
      <c r="D440" s="103"/>
      <c r="E440" s="212"/>
      <c r="F440" s="212"/>
      <c r="G440" s="238"/>
      <c r="I440" s="539"/>
      <c r="J440" s="103"/>
      <c r="K440" s="212"/>
      <c r="L440" s="212"/>
      <c r="M440" s="238"/>
      <c r="T440" s="246"/>
      <c r="U440" s="246"/>
      <c r="V440" s="246"/>
      <c r="W440" s="246"/>
      <c r="X440" s="246"/>
      <c r="Y440" s="246"/>
      <c r="Z440" s="246"/>
      <c r="AA440" s="246"/>
      <c r="AB440" s="246"/>
      <c r="AC440" s="246"/>
      <c r="AD440" s="246"/>
    </row>
    <row r="441" spans="2:30" ht="15.75" customHeight="1" outlineLevel="1" x14ac:dyDescent="0.25">
      <c r="C441" s="539"/>
      <c r="D441" s="103"/>
      <c r="E441" s="212"/>
      <c r="F441" s="212"/>
      <c r="G441" s="238"/>
      <c r="I441" s="539"/>
      <c r="J441" s="103"/>
      <c r="K441" s="212"/>
      <c r="L441" s="212"/>
      <c r="M441" s="238"/>
      <c r="T441" s="246"/>
      <c r="U441" s="246"/>
      <c r="V441" s="246"/>
      <c r="W441" s="246"/>
      <c r="X441" s="246"/>
      <c r="Y441" s="246"/>
      <c r="Z441" s="246"/>
      <c r="AA441" s="246"/>
      <c r="AB441" s="246"/>
      <c r="AC441" s="246"/>
      <c r="AD441" s="246"/>
    </row>
    <row r="442" spans="2:30" ht="15.75" customHeight="1" outlineLevel="1" x14ac:dyDescent="0.25">
      <c r="C442" s="540"/>
      <c r="D442" s="249"/>
      <c r="E442" s="212"/>
      <c r="F442" s="212"/>
      <c r="G442" s="238"/>
      <c r="I442" s="540"/>
      <c r="J442" s="249"/>
      <c r="K442" s="212"/>
      <c r="L442" s="212"/>
      <c r="M442" s="238"/>
      <c r="T442" s="246"/>
      <c r="U442" s="246"/>
      <c r="V442" s="246"/>
      <c r="W442" s="246"/>
      <c r="X442" s="246"/>
      <c r="Y442" s="246"/>
      <c r="Z442" s="246"/>
      <c r="AA442" s="246"/>
      <c r="AB442" s="246"/>
      <c r="AC442" s="246"/>
      <c r="AD442" s="246"/>
    </row>
    <row r="443" spans="2:30" ht="15.75" customHeight="1" outlineLevel="1" x14ac:dyDescent="0.25">
      <c r="T443" s="246"/>
      <c r="U443" s="246"/>
      <c r="V443" s="246"/>
      <c r="W443" s="246"/>
      <c r="X443" s="246"/>
      <c r="Y443" s="246"/>
      <c r="Z443" s="246"/>
      <c r="AA443" s="246"/>
      <c r="AB443" s="246"/>
      <c r="AC443" s="246"/>
      <c r="AD443" s="246"/>
    </row>
    <row r="444" spans="2:30" ht="15.75" customHeight="1" outlineLevel="1" x14ac:dyDescent="0.25">
      <c r="C444" s="3" t="s">
        <v>360</v>
      </c>
      <c r="I444" s="3" t="s">
        <v>359</v>
      </c>
      <c r="T444" s="246"/>
      <c r="U444" s="246"/>
      <c r="V444" s="246"/>
      <c r="W444" s="246"/>
      <c r="X444" s="246"/>
      <c r="Y444" s="246"/>
      <c r="Z444" s="246"/>
      <c r="AA444" s="246"/>
      <c r="AB444" s="246"/>
      <c r="AC444" s="246"/>
      <c r="AD444" s="246"/>
    </row>
    <row r="445" spans="2:30" ht="15.75" customHeight="1" outlineLevel="1" x14ac:dyDescent="0.25">
      <c r="T445" s="246"/>
      <c r="U445" s="246"/>
      <c r="V445" s="246"/>
      <c r="W445" s="246"/>
      <c r="X445" s="246"/>
      <c r="Y445" s="246"/>
      <c r="Z445" s="246"/>
      <c r="AA445" s="246"/>
      <c r="AB445" s="246"/>
      <c r="AC445" s="246"/>
      <c r="AD445" s="246"/>
    </row>
    <row r="446" spans="2:30" ht="15.75" customHeight="1" outlineLevel="1" x14ac:dyDescent="0.25">
      <c r="C446" s="49"/>
      <c r="D446" s="50"/>
      <c r="E446" s="51" t="s">
        <v>101</v>
      </c>
      <c r="F446" s="52"/>
      <c r="G446" s="53"/>
      <c r="I446" s="49"/>
      <c r="J446" s="50"/>
      <c r="K446" s="51" t="s">
        <v>101</v>
      </c>
      <c r="L446" s="52"/>
      <c r="M446" s="53"/>
      <c r="T446" s="246"/>
      <c r="U446" s="246"/>
      <c r="V446" s="246"/>
      <c r="W446" s="246"/>
      <c r="X446" s="246"/>
      <c r="Y446" s="246"/>
      <c r="Z446" s="246"/>
      <c r="AA446" s="246"/>
      <c r="AB446" s="246"/>
      <c r="AC446" s="246"/>
      <c r="AD446" s="246"/>
    </row>
    <row r="447" spans="2:30" ht="15.75" customHeight="1" outlineLevel="1" x14ac:dyDescent="0.25">
      <c r="C447" s="54"/>
      <c r="D447" s="55"/>
      <c r="E447" s="494"/>
      <c r="F447" s="494"/>
      <c r="G447" s="495"/>
      <c r="I447" s="54"/>
      <c r="J447" s="55"/>
      <c r="K447" s="494"/>
      <c r="L447" s="494"/>
      <c r="M447" s="495"/>
      <c r="T447" s="246"/>
      <c r="U447" s="246"/>
      <c r="V447" s="246"/>
      <c r="W447" s="246"/>
      <c r="X447" s="246"/>
      <c r="Y447" s="246"/>
      <c r="Z447" s="246"/>
      <c r="AA447" s="246"/>
      <c r="AB447" s="246"/>
      <c r="AC447" s="246"/>
      <c r="AD447" s="246"/>
    </row>
    <row r="448" spans="2:30" ht="15.75" customHeight="1" outlineLevel="1" x14ac:dyDescent="0.25">
      <c r="C448" s="538" t="str">
        <f>$C$421</f>
        <v>Operating Scenario:</v>
      </c>
      <c r="D448" s="103"/>
      <c r="E448" s="212"/>
      <c r="F448" s="212"/>
      <c r="G448" s="238"/>
      <c r="I448" s="538" t="str">
        <f>$C$421</f>
        <v>Operating Scenario:</v>
      </c>
      <c r="J448" s="103"/>
      <c r="K448" s="212"/>
      <c r="L448" s="212"/>
      <c r="M448" s="238"/>
      <c r="T448" s="246"/>
      <c r="U448" s="246"/>
      <c r="V448" s="246"/>
      <c r="W448" s="246"/>
      <c r="X448" s="246"/>
      <c r="Y448" s="246"/>
      <c r="Z448" s="246"/>
      <c r="AA448" s="246"/>
      <c r="AB448" s="246"/>
      <c r="AC448" s="246"/>
      <c r="AD448" s="246"/>
    </row>
    <row r="449" spans="3:13" ht="15.75" customHeight="1" outlineLevel="1" x14ac:dyDescent="0.25">
      <c r="C449" s="539"/>
      <c r="D449" s="103"/>
      <c r="E449" s="212"/>
      <c r="F449" s="212"/>
      <c r="G449" s="238"/>
      <c r="I449" s="539"/>
      <c r="J449" s="103"/>
      <c r="K449" s="212"/>
      <c r="L449" s="212"/>
      <c r="M449" s="238"/>
    </row>
    <row r="450" spans="3:13" ht="15.75" customHeight="1" outlineLevel="1" x14ac:dyDescent="0.25">
      <c r="C450" s="539"/>
      <c r="D450" s="103"/>
      <c r="E450" s="212"/>
      <c r="F450" s="212"/>
      <c r="G450" s="238"/>
      <c r="I450" s="539"/>
      <c r="J450" s="103"/>
      <c r="K450" s="212"/>
      <c r="L450" s="212"/>
      <c r="M450" s="238"/>
    </row>
    <row r="451" spans="3:13" ht="15.75" customHeight="1" outlineLevel="1" x14ac:dyDescent="0.25">
      <c r="C451" s="540"/>
      <c r="D451" s="249"/>
      <c r="E451" s="212"/>
      <c r="F451" s="212"/>
      <c r="G451" s="238"/>
      <c r="I451" s="540"/>
      <c r="J451" s="249"/>
      <c r="K451" s="212"/>
      <c r="L451" s="212"/>
      <c r="M451" s="238"/>
    </row>
  </sheetData>
  <mergeCells count="7">
    <mergeCell ref="C448:C451"/>
    <mergeCell ref="I448:I451"/>
    <mergeCell ref="C439:C442"/>
    <mergeCell ref="I439:I442"/>
    <mergeCell ref="C414:C417"/>
    <mergeCell ref="C421:C424"/>
    <mergeCell ref="C428:C431"/>
  </mergeCells>
  <dataValidations count="3">
    <dataValidation type="list" allowBlank="1" showInputMessage="1" showErrorMessage="1" sqref="L13" xr:uid="{54298880-DE7D-470F-95CD-23113D16AFAE}">
      <formula1>$O$83:$Q$83</formula1>
    </dataValidation>
    <dataValidation type="list" allowBlank="1" showInputMessage="1" showErrorMessage="1" sqref="L8" xr:uid="{9D8CE15C-E987-4D36-AB8E-F41AF1762CF0}">
      <formula1>$P$8:$P$18</formula1>
    </dataValidation>
    <dataValidation type="list" allowBlank="1" showInputMessage="1" showErrorMessage="1" sqref="D62" xr:uid="{E6A3129E-9298-477C-A380-CD67F915B265}">
      <formula1>$O$83:$P$83</formula1>
    </dataValidation>
  </dataValidations>
  <pageMargins left="0.7" right="0.7" top="0.75" bottom="0.75" header="0.3" footer="0.3"/>
  <pageSetup scale="38" orientation="portrait" horizontalDpi="1200" verticalDpi="1200" r:id="rId1"/>
  <rowBreaks count="9" manualBreakCount="9">
    <brk id="45" max="17" man="1"/>
    <brk id="81" max="17" man="1"/>
    <brk id="111" max="17" man="1"/>
    <brk id="149" max="17" man="1"/>
    <brk id="195" max="17" man="1"/>
    <brk id="268" max="17" man="1"/>
    <brk id="323" max="17" man="1"/>
    <brk id="367" max="17" man="1"/>
    <brk id="409" max="17" man="1"/>
  </rowBreaks>
  <ignoredErrors>
    <ignoredError sqref="E109 L109 M109:Q109 F109:H109 L101:Q101 L163:Q163" formula="1"/>
    <ignoredError sqref="I59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98F7CB-5966-42B3-85DC-BCB2B9F600F7}">
          <x14:formula1>
            <xm:f>Fin_Projections!$C$19:$C$22</xm:f>
          </x14:formula1>
          <xm:sqref>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43A8-14C5-4E55-88EB-CADAD5598282}">
  <sheetPr>
    <pageSetUpPr autoPageBreaks="0"/>
  </sheetPr>
  <dimension ref="B2:Z197"/>
  <sheetViews>
    <sheetView showGridLines="0" topLeftCell="A86" zoomScaleNormal="100" workbookViewId="0">
      <selection activeCell="G151" sqref="A151:XFD151"/>
    </sheetView>
  </sheetViews>
  <sheetFormatPr defaultRowHeight="15.75" customHeight="1" outlineLevelRow="1" outlineLevelCol="1" x14ac:dyDescent="0.25"/>
  <cols>
    <col min="1" max="2" width="2.7109375" style="116" customWidth="1"/>
    <col min="3" max="3" width="49.85546875" style="116" bestFit="1" customWidth="1"/>
    <col min="4" max="4" width="15.28515625" style="116" bestFit="1" customWidth="1"/>
    <col min="5" max="7" width="12.7109375" style="116" customWidth="1" outlineLevel="1"/>
    <col min="8" max="13" width="12.7109375" style="116" customWidth="1"/>
    <col min="14" max="15" width="2.7109375" style="116" customWidth="1"/>
    <col min="16" max="24" width="12.7109375" style="116" customWidth="1"/>
    <col min="25" max="16384" width="9.140625" style="116"/>
  </cols>
  <sheetData>
    <row r="2" spans="2:24" ht="15.75" customHeight="1" x14ac:dyDescent="0.3">
      <c r="B2" s="196" t="str">
        <f>Company_Name&amp;" - Financial Statement Projections"</f>
        <v>Viridor Limited - Financial Statement Projections</v>
      </c>
    </row>
    <row r="3" spans="2:24" ht="15.75" customHeight="1" x14ac:dyDescent="0.25">
      <c r="B3" s="270" t="s">
        <v>216</v>
      </c>
    </row>
    <row r="4" spans="2:24" ht="15.75" customHeight="1" x14ac:dyDescent="0.25"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2:24" ht="15.75" customHeight="1" x14ac:dyDescent="0.25">
      <c r="B5" s="12"/>
      <c r="C5" s="13"/>
      <c r="D5" s="14"/>
      <c r="E5" s="15" t="s">
        <v>274</v>
      </c>
      <c r="F5" s="15"/>
      <c r="G5" s="16"/>
      <c r="H5" s="17" t="s">
        <v>275</v>
      </c>
      <c r="I5" s="18"/>
      <c r="J5" s="16"/>
      <c r="K5" s="16"/>
      <c r="L5" s="16"/>
      <c r="M5" s="16"/>
      <c r="O5" s="243"/>
      <c r="P5" s="243"/>
      <c r="Q5" s="243"/>
      <c r="R5" s="243"/>
      <c r="S5" s="243"/>
      <c r="T5" s="243"/>
      <c r="U5" s="243"/>
      <c r="V5" s="243"/>
      <c r="W5" s="243"/>
      <c r="X5" s="243"/>
    </row>
    <row r="6" spans="2:24" ht="15.75" customHeight="1" x14ac:dyDescent="0.25">
      <c r="B6" s="31" t="s">
        <v>70</v>
      </c>
      <c r="C6" s="19"/>
      <c r="D6" s="35" t="str">
        <f>LBO_4_Hours!$D$5</f>
        <v>Units:</v>
      </c>
      <c r="E6" s="1">
        <f>EOMONTH(F6,-12)</f>
        <v>43190</v>
      </c>
      <c r="F6" s="1">
        <f>EOMONTH(G6,-12)</f>
        <v>43555</v>
      </c>
      <c r="G6" s="2">
        <f>Hist_Year</f>
        <v>43921</v>
      </c>
      <c r="H6" s="61">
        <f>EOMONTH(G6,12)</f>
        <v>44286</v>
      </c>
      <c r="I6" s="1">
        <f t="shared" ref="I6:L6" si="0">EOMONTH(H6,12)</f>
        <v>44651</v>
      </c>
      <c r="J6" s="1">
        <f t="shared" si="0"/>
        <v>45016</v>
      </c>
      <c r="K6" s="1">
        <f t="shared" si="0"/>
        <v>45382</v>
      </c>
      <c r="L6" s="1">
        <f t="shared" si="0"/>
        <v>45747</v>
      </c>
      <c r="M6" s="253">
        <f t="shared" ref="M6" si="1">EOMONTH(L6,12)</f>
        <v>46112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</row>
    <row r="7" spans="2:24" ht="15.75" customHeight="1" outlineLevel="1" x14ac:dyDescent="0.25">
      <c r="B7" s="64" t="s">
        <v>40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2:24" ht="15.75" customHeight="1" outlineLevel="1" x14ac:dyDescent="0.25">
      <c r="B8" s="22"/>
      <c r="C8" s="269" t="s">
        <v>203</v>
      </c>
      <c r="D8" s="48" t="s">
        <v>204</v>
      </c>
      <c r="E8" s="115"/>
      <c r="F8" s="115"/>
      <c r="G8" s="281">
        <v>100</v>
      </c>
      <c r="H8" s="115"/>
      <c r="I8" s="115"/>
      <c r="J8" s="115"/>
      <c r="K8" s="115"/>
      <c r="L8" s="115"/>
      <c r="M8" s="115"/>
    </row>
    <row r="9" spans="2:24" ht="15.75" customHeight="1" outlineLevel="1" x14ac:dyDescent="0.25">
      <c r="B9" s="22"/>
      <c r="C9" s="269" t="s">
        <v>207</v>
      </c>
      <c r="D9" s="48" t="s">
        <v>208</v>
      </c>
      <c r="E9" s="115"/>
      <c r="F9" s="115"/>
      <c r="G9" s="513">
        <v>3</v>
      </c>
      <c r="H9" s="115"/>
      <c r="I9" s="115"/>
      <c r="J9" s="115"/>
      <c r="K9" s="115"/>
      <c r="L9" s="115"/>
      <c r="M9" s="115"/>
    </row>
    <row r="10" spans="2:24" ht="15.75" customHeight="1" outlineLevel="1" x14ac:dyDescent="0.25">
      <c r="B10" s="22"/>
      <c r="C10" s="269" t="s">
        <v>211</v>
      </c>
      <c r="D10" s="48" t="s">
        <v>208</v>
      </c>
      <c r="E10" s="115"/>
      <c r="F10" s="115"/>
      <c r="G10" s="513">
        <v>25</v>
      </c>
      <c r="H10" s="115"/>
      <c r="I10" s="115"/>
      <c r="J10" s="115"/>
      <c r="K10" s="115"/>
      <c r="L10" s="115"/>
      <c r="M10" s="115"/>
    </row>
    <row r="11" spans="2:24" ht="15.75" customHeight="1" outlineLevel="1" x14ac:dyDescent="0.25">
      <c r="B11" s="22"/>
      <c r="C11" s="269" t="s">
        <v>209</v>
      </c>
      <c r="D11" s="48" t="s">
        <v>206</v>
      </c>
      <c r="E11" s="115"/>
      <c r="F11" s="115"/>
      <c r="G11" s="282">
        <v>15</v>
      </c>
      <c r="H11" s="115"/>
      <c r="I11" s="115"/>
      <c r="J11" s="115"/>
      <c r="K11" s="115"/>
      <c r="L11" s="115"/>
      <c r="M11" s="115"/>
    </row>
    <row r="12" spans="2:24" ht="15.75" customHeight="1" outlineLevel="1" x14ac:dyDescent="0.25">
      <c r="B12" s="22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2:24" ht="15.75" customHeight="1" outlineLevel="1" x14ac:dyDescent="0.25">
      <c r="B13" s="22"/>
      <c r="C13" s="269" t="s">
        <v>222</v>
      </c>
      <c r="D13" s="113" t="s">
        <v>34</v>
      </c>
      <c r="E13" s="114">
        <v>320</v>
      </c>
      <c r="F13" s="114">
        <v>320</v>
      </c>
      <c r="G13" s="114">
        <v>320</v>
      </c>
      <c r="H13" s="197">
        <f>G13+H14</f>
        <v>325</v>
      </c>
      <c r="I13" s="197">
        <f t="shared" ref="I13:M13" si="2">H13+I14</f>
        <v>330</v>
      </c>
      <c r="J13" s="197">
        <f t="shared" si="2"/>
        <v>335</v>
      </c>
      <c r="K13" s="197">
        <f t="shared" si="2"/>
        <v>340</v>
      </c>
      <c r="L13" s="197">
        <f t="shared" si="2"/>
        <v>345</v>
      </c>
      <c r="M13" s="197">
        <f t="shared" si="2"/>
        <v>350</v>
      </c>
    </row>
    <row r="14" spans="2:24" ht="15.75" customHeight="1" outlineLevel="1" x14ac:dyDescent="0.25">
      <c r="B14" s="22"/>
      <c r="C14" s="269" t="s">
        <v>202</v>
      </c>
      <c r="D14" s="113" t="s">
        <v>34</v>
      </c>
      <c r="E14" s="115"/>
      <c r="F14" s="115"/>
      <c r="G14" s="115"/>
      <c r="H14" s="275">
        <v>5</v>
      </c>
      <c r="I14" s="275">
        <v>5</v>
      </c>
      <c r="J14" s="275">
        <v>5</v>
      </c>
      <c r="K14" s="275">
        <v>5</v>
      </c>
      <c r="L14" s="275">
        <v>5</v>
      </c>
      <c r="M14" s="275">
        <v>5</v>
      </c>
    </row>
    <row r="15" spans="2:24" ht="15.75" customHeight="1" outlineLevel="1" x14ac:dyDescent="0.25">
      <c r="B15" s="22"/>
      <c r="C15" s="269" t="s">
        <v>215</v>
      </c>
      <c r="D15" s="113" t="s">
        <v>34</v>
      </c>
      <c r="E15" s="114"/>
      <c r="F15" s="114"/>
      <c r="G15" s="114"/>
      <c r="H15" s="275">
        <v>1</v>
      </c>
      <c r="I15" s="275">
        <v>1</v>
      </c>
      <c r="J15" s="275">
        <v>1</v>
      </c>
      <c r="K15" s="275">
        <v>1</v>
      </c>
      <c r="L15" s="275">
        <v>0</v>
      </c>
      <c r="M15" s="275">
        <v>0</v>
      </c>
    </row>
    <row r="16" spans="2:24" ht="15.75" customHeight="1" outlineLevel="1" x14ac:dyDescent="0.25">
      <c r="B16" s="22"/>
      <c r="C16" s="269" t="s">
        <v>205</v>
      </c>
      <c r="D16" s="113" t="s">
        <v>34</v>
      </c>
      <c r="E16" s="114"/>
      <c r="F16" s="114"/>
      <c r="G16" s="114"/>
      <c r="H16" s="275">
        <v>2</v>
      </c>
      <c r="I16" s="275">
        <v>2</v>
      </c>
      <c r="J16" s="275">
        <v>0</v>
      </c>
      <c r="K16" s="197">
        <f>H15</f>
        <v>1</v>
      </c>
      <c r="L16" s="197">
        <f t="shared" ref="L16:M16" si="3">I15</f>
        <v>1</v>
      </c>
      <c r="M16" s="197">
        <f t="shared" si="3"/>
        <v>1</v>
      </c>
    </row>
    <row r="17" spans="2:24" ht="15.75" customHeight="1" outlineLevel="1" x14ac:dyDescent="0.25">
      <c r="B17" s="22"/>
      <c r="C17" s="269"/>
      <c r="D17" s="113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2:24" ht="15.75" customHeight="1" outlineLevel="1" x14ac:dyDescent="0.25">
      <c r="C18" s="269" t="s">
        <v>210</v>
      </c>
      <c r="D18" s="113" t="s">
        <v>212</v>
      </c>
      <c r="H18" s="197">
        <f>INDEX(H19:H22,MATCH(Scenario,$C19:$C22,0),1)</f>
        <v>275000</v>
      </c>
      <c r="I18" s="197"/>
      <c r="J18" s="197"/>
      <c r="K18" s="512"/>
      <c r="L18" s="197"/>
      <c r="M18" s="197"/>
    </row>
    <row r="19" spans="2:24" ht="15.75" customHeight="1" outlineLevel="1" x14ac:dyDescent="0.25">
      <c r="B19" s="22"/>
      <c r="C19" s="291" t="str">
        <f>LBO_4_Hours!$H$16</f>
        <v>Upside</v>
      </c>
      <c r="D19" s="113" t="s">
        <v>212</v>
      </c>
      <c r="E19" s="115"/>
      <c r="F19" s="115"/>
      <c r="G19" s="115"/>
      <c r="H19" s="275">
        <v>350000</v>
      </c>
      <c r="I19" s="283"/>
      <c r="J19" s="114"/>
      <c r="K19" s="114"/>
      <c r="L19" s="114"/>
      <c r="M19" s="114"/>
    </row>
    <row r="20" spans="2:24" ht="15.75" customHeight="1" outlineLevel="1" x14ac:dyDescent="0.25">
      <c r="B20" s="22"/>
      <c r="C20" s="291" t="str">
        <f>LBO_4_Hours!$H$17</f>
        <v>Base</v>
      </c>
      <c r="D20" s="113" t="s">
        <v>212</v>
      </c>
      <c r="E20" s="115"/>
      <c r="F20" s="115"/>
      <c r="G20" s="115"/>
      <c r="H20" s="275">
        <v>275000</v>
      </c>
      <c r="I20" s="283"/>
      <c r="J20" s="114"/>
      <c r="K20" s="114"/>
      <c r="L20" s="114"/>
      <c r="M20" s="114"/>
    </row>
    <row r="21" spans="2:24" ht="15.75" customHeight="1" outlineLevel="1" x14ac:dyDescent="0.25">
      <c r="B21" s="22"/>
      <c r="C21" s="291" t="str">
        <f>LBO_4_Hours!$H$18</f>
        <v>Downside</v>
      </c>
      <c r="D21" s="113" t="s">
        <v>212</v>
      </c>
      <c r="E21" s="115"/>
      <c r="F21" s="115"/>
      <c r="G21" s="115"/>
      <c r="H21" s="275">
        <v>225000</v>
      </c>
      <c r="I21" s="283"/>
      <c r="J21" s="114"/>
      <c r="K21" s="114"/>
      <c r="L21" s="114"/>
      <c r="M21" s="114"/>
    </row>
    <row r="22" spans="2:24" ht="15.75" customHeight="1" outlineLevel="1" x14ac:dyDescent="0.25">
      <c r="B22" s="22"/>
      <c r="C22" s="484" t="str">
        <f>LBO_4_Hours!$H$19</f>
        <v>XT Downside</v>
      </c>
      <c r="D22" s="113" t="s">
        <v>212</v>
      </c>
      <c r="E22" s="115"/>
      <c r="F22" s="115"/>
      <c r="G22" s="115"/>
      <c r="H22" s="275">
        <v>175000</v>
      </c>
      <c r="I22" s="283"/>
      <c r="J22" s="114"/>
      <c r="K22" s="114"/>
      <c r="L22" s="114"/>
      <c r="M22" s="114"/>
    </row>
    <row r="23" spans="2:24" ht="15.75" customHeight="1" outlineLevel="1" x14ac:dyDescent="0.25">
      <c r="B23" s="22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2:24" ht="15.75" customHeight="1" outlineLevel="1" x14ac:dyDescent="0.25">
      <c r="B24" s="22"/>
      <c r="C24" s="269" t="s">
        <v>201</v>
      </c>
      <c r="D24" s="113" t="s">
        <v>194</v>
      </c>
      <c r="E24" s="197">
        <f>E26*Units/E13</f>
        <v>21875</v>
      </c>
      <c r="F24" s="197">
        <f>F26*Units/F13</f>
        <v>21250</v>
      </c>
      <c r="G24" s="197">
        <f>G26*Units/G13</f>
        <v>20937.5</v>
      </c>
      <c r="H24" s="275">
        <v>21000</v>
      </c>
      <c r="I24" s="275">
        <v>21200</v>
      </c>
      <c r="J24" s="275">
        <v>21400</v>
      </c>
      <c r="K24" s="275">
        <v>21600</v>
      </c>
      <c r="L24" s="275">
        <v>21800</v>
      </c>
      <c r="M24" s="275">
        <v>22000</v>
      </c>
    </row>
    <row r="25" spans="2:24" ht="15.75" customHeight="1" outlineLevel="1" x14ac:dyDescent="0.25">
      <c r="B25" s="22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2:24" ht="15.75" customHeight="1" outlineLevel="1" x14ac:dyDescent="0.25">
      <c r="B26" s="22"/>
      <c r="C26" s="268" t="s">
        <v>221</v>
      </c>
      <c r="D26" s="113" t="s">
        <v>391</v>
      </c>
      <c r="E26" s="285">
        <v>7</v>
      </c>
      <c r="F26" s="285">
        <v>6.8</v>
      </c>
      <c r="G26" s="285">
        <v>6.7</v>
      </c>
      <c r="H26" s="284">
        <f t="shared" ref="H26:M26" si="4">H13*H24/Units</f>
        <v>6.8250000000000002</v>
      </c>
      <c r="I26" s="284">
        <f t="shared" si="4"/>
        <v>6.9960000000000004</v>
      </c>
      <c r="J26" s="284">
        <f t="shared" si="4"/>
        <v>7.1689999999999996</v>
      </c>
      <c r="K26" s="284">
        <f t="shared" si="4"/>
        <v>7.3440000000000003</v>
      </c>
      <c r="L26" s="284">
        <f t="shared" si="4"/>
        <v>7.5209999999999999</v>
      </c>
      <c r="M26" s="284">
        <f t="shared" si="4"/>
        <v>7.7</v>
      </c>
    </row>
    <row r="27" spans="2:24" ht="15.75" customHeight="1" outlineLevel="1" x14ac:dyDescent="0.25">
      <c r="B27" s="22"/>
      <c r="C27" s="268" t="s">
        <v>223</v>
      </c>
      <c r="D27" s="113" t="s">
        <v>391</v>
      </c>
      <c r="E27" s="115"/>
      <c r="F27" s="115"/>
      <c r="G27" s="115"/>
      <c r="H27" s="284">
        <f>SUM($H16:H16)*$H$18/Units</f>
        <v>0.55000000000000004</v>
      </c>
      <c r="I27" s="284">
        <f>SUM($H16:I16)*$H$18/Units</f>
        <v>1.1000000000000001</v>
      </c>
      <c r="J27" s="284">
        <f>SUM($H16:J16)*$H$18/Units</f>
        <v>1.1000000000000001</v>
      </c>
      <c r="K27" s="284">
        <f>SUM($H16:K16)*$H$18/Units</f>
        <v>1.375</v>
      </c>
      <c r="L27" s="284">
        <f>SUM($H16:L16)*$H$18/Units</f>
        <v>1.65</v>
      </c>
      <c r="M27" s="284">
        <f>SUM($H16:M16)*$H$18/Units</f>
        <v>1.925</v>
      </c>
    </row>
    <row r="28" spans="2:24" ht="15.75" customHeight="1" outlineLevel="1" x14ac:dyDescent="0.25">
      <c r="B28" s="22"/>
      <c r="C28" s="286" t="s">
        <v>191</v>
      </c>
      <c r="D28" s="524" t="s">
        <v>391</v>
      </c>
      <c r="E28" s="287">
        <f>SUM(E26:E27)</f>
        <v>7</v>
      </c>
      <c r="F28" s="287">
        <f t="shared" ref="F28:G28" si="5">SUM(F26:F27)</f>
        <v>6.8</v>
      </c>
      <c r="G28" s="287">
        <f t="shared" si="5"/>
        <v>6.7</v>
      </c>
      <c r="H28" s="287">
        <f>SUM(H26:H27)</f>
        <v>7.375</v>
      </c>
      <c r="I28" s="287">
        <f t="shared" ref="I28:M28" si="6">SUM(I26:I27)</f>
        <v>8.0960000000000001</v>
      </c>
      <c r="J28" s="287">
        <f t="shared" si="6"/>
        <v>8.2690000000000001</v>
      </c>
      <c r="K28" s="287">
        <f t="shared" si="6"/>
        <v>8.7190000000000012</v>
      </c>
      <c r="L28" s="287">
        <f t="shared" si="6"/>
        <v>9.1709999999999994</v>
      </c>
      <c r="M28" s="287">
        <f t="shared" si="6"/>
        <v>9.625</v>
      </c>
    </row>
    <row r="29" spans="2:24" ht="15.75" customHeight="1" outlineLevel="1" x14ac:dyDescent="0.25">
      <c r="B29" s="22"/>
      <c r="C29" s="115"/>
      <c r="D29" s="115"/>
      <c r="E29" s="115"/>
      <c r="F29" s="115"/>
      <c r="G29" s="115"/>
      <c r="H29" s="523"/>
      <c r="I29" s="115"/>
      <c r="J29" s="115"/>
      <c r="K29" s="115"/>
      <c r="L29" s="115"/>
      <c r="M29" s="115"/>
      <c r="O29" s="243"/>
      <c r="P29" s="243"/>
      <c r="Q29" s="243"/>
      <c r="R29" s="243"/>
      <c r="S29" s="243"/>
      <c r="T29" s="243"/>
      <c r="U29" s="243"/>
      <c r="V29" s="243"/>
      <c r="W29" s="243"/>
      <c r="X29" s="243"/>
    </row>
    <row r="30" spans="2:24" ht="15.75" customHeight="1" outlineLevel="1" x14ac:dyDescent="0.25">
      <c r="B30" s="22"/>
      <c r="C30" s="269" t="s">
        <v>192</v>
      </c>
      <c r="D30" s="113" t="s">
        <v>193</v>
      </c>
      <c r="E30" s="271">
        <f>E107/E26</f>
        <v>112.7</v>
      </c>
      <c r="F30" s="271">
        <f t="shared" ref="F30:G30" si="7">F107/F26</f>
        <v>124.35294117647059</v>
      </c>
      <c r="G30" s="271">
        <f t="shared" si="7"/>
        <v>112.4179104477612</v>
      </c>
      <c r="H30" s="271">
        <f>G30*(1+H32)</f>
        <v>116.91462686567165</v>
      </c>
      <c r="I30" s="271">
        <f t="shared" ref="I30:M30" si="8">H30*(1+I32)</f>
        <v>121.59121194029852</v>
      </c>
      <c r="J30" s="271">
        <f t="shared" si="8"/>
        <v>125.23894829850748</v>
      </c>
      <c r="K30" s="271">
        <f t="shared" si="8"/>
        <v>128.99611674746271</v>
      </c>
      <c r="L30" s="271">
        <f t="shared" si="8"/>
        <v>131.57603908241197</v>
      </c>
      <c r="M30" s="271">
        <f t="shared" si="8"/>
        <v>134.20755986406022</v>
      </c>
      <c r="O30" s="243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2:24" ht="15.75" customHeight="1" outlineLevel="1" x14ac:dyDescent="0.25">
      <c r="B31" s="22"/>
      <c r="C31" s="115"/>
      <c r="D31" s="113"/>
      <c r="E31" s="147"/>
      <c r="F31" s="147"/>
      <c r="G31" s="147"/>
      <c r="H31" s="115"/>
      <c r="I31" s="115"/>
      <c r="J31" s="115"/>
      <c r="K31" s="115"/>
      <c r="L31" s="115"/>
      <c r="M31" s="115"/>
      <c r="O31" s="243"/>
      <c r="P31" s="243"/>
      <c r="Q31" s="243"/>
      <c r="R31" s="243"/>
      <c r="S31" s="243"/>
      <c r="T31" s="243"/>
      <c r="U31" s="243"/>
      <c r="V31" s="243"/>
      <c r="W31" s="243"/>
      <c r="X31" s="243"/>
    </row>
    <row r="32" spans="2:24" ht="15.75" customHeight="1" outlineLevel="1" x14ac:dyDescent="0.25">
      <c r="B32" s="22"/>
      <c r="C32" s="269" t="s">
        <v>214</v>
      </c>
      <c r="D32" s="44" t="s">
        <v>25</v>
      </c>
      <c r="E32" s="172">
        <f>E30/(793.5/7.6)-1</f>
        <v>7.9420289855072435E-2</v>
      </c>
      <c r="F32" s="172">
        <f>F30/E30-1</f>
        <v>0.10339788089148705</v>
      </c>
      <c r="G32" s="172">
        <f>G30/F30-1</f>
        <v>-9.5977068300879709E-2</v>
      </c>
      <c r="H32" s="254">
        <f t="shared" ref="H32:M32" si="9">INDEX(H33:H36,MATCH(Scenario,$C33:$C36,0),1)</f>
        <v>0.04</v>
      </c>
      <c r="I32" s="174">
        <f t="shared" si="9"/>
        <v>0.04</v>
      </c>
      <c r="J32" s="174">
        <f t="shared" si="9"/>
        <v>0.03</v>
      </c>
      <c r="K32" s="174">
        <f t="shared" si="9"/>
        <v>0.03</v>
      </c>
      <c r="L32" s="174">
        <f t="shared" si="9"/>
        <v>0.02</v>
      </c>
      <c r="M32" s="174">
        <f t="shared" si="9"/>
        <v>0.02</v>
      </c>
      <c r="O32" s="243"/>
      <c r="P32" s="243"/>
      <c r="Q32" s="243"/>
      <c r="R32" s="243"/>
      <c r="S32" s="243"/>
      <c r="T32" s="243"/>
      <c r="U32" s="243"/>
      <c r="V32" s="243"/>
      <c r="W32" s="243"/>
      <c r="X32" s="243"/>
    </row>
    <row r="33" spans="2:13" ht="15.75" customHeight="1" outlineLevel="1" x14ac:dyDescent="0.25">
      <c r="B33" s="22"/>
      <c r="C33" s="291" t="str">
        <f>LBO_4_Hours!$H$16</f>
        <v>Upside</v>
      </c>
      <c r="D33" s="48" t="s">
        <v>25</v>
      </c>
      <c r="E33" s="147"/>
      <c r="F33" s="147"/>
      <c r="G33" s="147"/>
      <c r="H33" s="256">
        <v>7.0000000000000007E-2</v>
      </c>
      <c r="I33" s="173">
        <v>7.0000000000000007E-2</v>
      </c>
      <c r="J33" s="173">
        <v>0.06</v>
      </c>
      <c r="K33" s="244">
        <v>0.05</v>
      </c>
      <c r="L33" s="173">
        <v>0.04</v>
      </c>
      <c r="M33" s="173">
        <v>0.03</v>
      </c>
    </row>
    <row r="34" spans="2:13" ht="15.75" customHeight="1" outlineLevel="1" x14ac:dyDescent="0.25">
      <c r="B34" s="22"/>
      <c r="C34" s="291" t="str">
        <f>LBO_4_Hours!$H$17</f>
        <v>Base</v>
      </c>
      <c r="D34" s="48" t="s">
        <v>25</v>
      </c>
      <c r="E34" s="147"/>
      <c r="F34" s="147"/>
      <c r="G34" s="147"/>
      <c r="H34" s="256">
        <v>0.04</v>
      </c>
      <c r="I34" s="173">
        <v>0.04</v>
      </c>
      <c r="J34" s="173">
        <v>0.03</v>
      </c>
      <c r="K34" s="173">
        <v>0.03</v>
      </c>
      <c r="L34" s="173">
        <v>0.02</v>
      </c>
      <c r="M34" s="173">
        <v>0.02</v>
      </c>
    </row>
    <row r="35" spans="2:13" ht="15.75" customHeight="1" outlineLevel="1" x14ac:dyDescent="0.25">
      <c r="B35" s="22"/>
      <c r="C35" s="291" t="str">
        <f>LBO_4_Hours!$H$18</f>
        <v>Downside</v>
      </c>
      <c r="D35" s="44" t="s">
        <v>25</v>
      </c>
      <c r="E35" s="147"/>
      <c r="F35" s="147"/>
      <c r="G35" s="147"/>
      <c r="H35" s="256">
        <v>0.02</v>
      </c>
      <c r="I35" s="173">
        <v>0.02</v>
      </c>
      <c r="J35" s="173">
        <v>1.4999999999999999E-2</v>
      </c>
      <c r="K35" s="173">
        <v>1.4999999999999999E-2</v>
      </c>
      <c r="L35" s="173">
        <v>0.01</v>
      </c>
      <c r="M35" s="173">
        <v>0.01</v>
      </c>
    </row>
    <row r="36" spans="2:13" ht="15.75" customHeight="1" outlineLevel="1" x14ac:dyDescent="0.25">
      <c r="B36" s="22"/>
      <c r="C36" s="484" t="str">
        <f>LBO_4_Hours!$H$19</f>
        <v>XT Downside</v>
      </c>
      <c r="D36" s="44" t="s">
        <v>25</v>
      </c>
      <c r="E36" s="147"/>
      <c r="F36" s="147"/>
      <c r="G36" s="147"/>
      <c r="H36" s="256">
        <v>-0.05</v>
      </c>
      <c r="I36" s="173">
        <v>-0.04</v>
      </c>
      <c r="J36" s="173">
        <v>-0.03</v>
      </c>
      <c r="K36" s="173">
        <v>0.05</v>
      </c>
      <c r="L36" s="173">
        <v>0.04</v>
      </c>
      <c r="M36" s="173">
        <v>0.03</v>
      </c>
    </row>
    <row r="37" spans="2:13" ht="15.75" customHeight="1" x14ac:dyDescent="0.25">
      <c r="B37" s="22"/>
      <c r="C37" s="115"/>
      <c r="D37" s="113"/>
      <c r="E37" s="147"/>
      <c r="F37" s="274"/>
      <c r="G37" s="274"/>
      <c r="H37" s="255"/>
      <c r="I37" s="115"/>
      <c r="J37" s="115"/>
      <c r="K37" s="115"/>
      <c r="L37" s="115"/>
      <c r="M37" s="115"/>
    </row>
    <row r="38" spans="2:13" ht="15.75" customHeight="1" x14ac:dyDescent="0.25">
      <c r="B38" s="9" t="s">
        <v>135</v>
      </c>
      <c r="C38" s="118"/>
      <c r="D38" s="288" t="str">
        <f>LBO_4_Hours!$D$5</f>
        <v>Units:</v>
      </c>
      <c r="E38" s="203">
        <f>$E$6</f>
        <v>43190</v>
      </c>
      <c r="F38" s="203">
        <f>$F$6</f>
        <v>43555</v>
      </c>
      <c r="G38" s="203">
        <f>$G$6</f>
        <v>43921</v>
      </c>
      <c r="H38" s="203">
        <f>$H$6</f>
        <v>44286</v>
      </c>
      <c r="I38" s="203">
        <f>$I$6</f>
        <v>44651</v>
      </c>
      <c r="J38" s="203">
        <f>$J$6</f>
        <v>45016</v>
      </c>
      <c r="K38" s="203">
        <f>$K$6</f>
        <v>45382</v>
      </c>
      <c r="L38" s="203">
        <f>$L$6</f>
        <v>45747</v>
      </c>
      <c r="M38" s="203">
        <f>$M$6</f>
        <v>46112</v>
      </c>
    </row>
    <row r="39" spans="2:13" ht="15.75" customHeight="1" outlineLevel="1" x14ac:dyDescent="0.25">
      <c r="C39" s="273" t="s">
        <v>196</v>
      </c>
      <c r="D39" s="48" t="s">
        <v>34</v>
      </c>
      <c r="E39" s="114">
        <v>3285</v>
      </c>
      <c r="F39" s="114">
        <v>3426</v>
      </c>
      <c r="G39" s="114">
        <v>2986</v>
      </c>
      <c r="H39" s="197">
        <f t="shared" ref="H39:M39" si="10">H28*Units/H43</f>
        <v>3479.0337511334606</v>
      </c>
      <c r="I39" s="197">
        <f t="shared" si="10"/>
        <v>3819.1535253120674</v>
      </c>
      <c r="J39" s="197">
        <f t="shared" si="10"/>
        <v>3900.7634017793339</v>
      </c>
      <c r="K39" s="197">
        <f t="shared" si="10"/>
        <v>4113.0434272722241</v>
      </c>
      <c r="L39" s="197">
        <f t="shared" si="10"/>
        <v>4326.2669195450808</v>
      </c>
      <c r="M39" s="197">
        <f t="shared" si="10"/>
        <v>4540.4338785979062</v>
      </c>
    </row>
    <row r="40" spans="2:13" ht="15.75" customHeight="1" outlineLevel="1" x14ac:dyDescent="0.25">
      <c r="C40" s="273" t="s">
        <v>197</v>
      </c>
      <c r="D40" s="113" t="s">
        <v>198</v>
      </c>
      <c r="E40" s="278">
        <f>(-E110*Units)/E39</f>
        <v>41796.042617960426</v>
      </c>
      <c r="F40" s="278">
        <f>(-F110*Units)/F39</f>
        <v>40718.038528896672</v>
      </c>
      <c r="G40" s="278">
        <f>(-G110*Units)/G39</f>
        <v>42029.470864032148</v>
      </c>
      <c r="H40" s="278">
        <f>G40*(1+H41)</f>
        <v>43290.354989953114</v>
      </c>
      <c r="I40" s="278">
        <f t="shared" ref="I40:M40" si="11">H40*(1+I41)</f>
        <v>44589.065639651708</v>
      </c>
      <c r="J40" s="278">
        <f t="shared" si="11"/>
        <v>45926.737608841264</v>
      </c>
      <c r="K40" s="278">
        <f t="shared" si="11"/>
        <v>46845.272361018091</v>
      </c>
      <c r="L40" s="278">
        <f t="shared" si="11"/>
        <v>47782.177808238455</v>
      </c>
      <c r="M40" s="278">
        <f t="shared" si="11"/>
        <v>48737.821364403222</v>
      </c>
    </row>
    <row r="41" spans="2:13" ht="15.75" customHeight="1" outlineLevel="1" x14ac:dyDescent="0.25">
      <c r="C41" s="277" t="s">
        <v>199</v>
      </c>
      <c r="D41" s="44" t="s">
        <v>25</v>
      </c>
      <c r="E41" s="172"/>
      <c r="F41" s="172">
        <f>F40/E40-1</f>
        <v>-2.5792013347228249E-2</v>
      </c>
      <c r="G41" s="172">
        <f>G40/F40-1</f>
        <v>3.2207650037090696E-2</v>
      </c>
      <c r="H41" s="256">
        <v>0.03</v>
      </c>
      <c r="I41" s="173">
        <v>0.03</v>
      </c>
      <c r="J41" s="173">
        <v>0.03</v>
      </c>
      <c r="K41" s="244">
        <v>0.02</v>
      </c>
      <c r="L41" s="173">
        <v>0.02</v>
      </c>
      <c r="M41" s="173">
        <v>0.02</v>
      </c>
    </row>
    <row r="42" spans="2:13" ht="15.75" customHeight="1" outlineLevel="1" x14ac:dyDescent="0.25">
      <c r="C42" s="20"/>
      <c r="G42" s="62"/>
      <c r="H42" s="62"/>
      <c r="I42" s="62"/>
      <c r="J42" s="62"/>
      <c r="K42" s="62"/>
      <c r="L42" s="62"/>
      <c r="M42" s="62"/>
    </row>
    <row r="43" spans="2:13" ht="15.75" customHeight="1" outlineLevel="1" x14ac:dyDescent="0.25">
      <c r="C43" s="289" t="s">
        <v>226</v>
      </c>
      <c r="D43" s="48" t="s">
        <v>213</v>
      </c>
      <c r="E43" s="272">
        <f>E28*Units/E39</f>
        <v>2130.8980213089803</v>
      </c>
      <c r="F43" s="272">
        <f>F28*Units/F39</f>
        <v>1984.82194979568</v>
      </c>
      <c r="G43" s="272">
        <f>G28*Units/G39</f>
        <v>2243.8044206296049</v>
      </c>
      <c r="H43" s="290">
        <f>AVERAGE(E43:G43)</f>
        <v>2119.8414639114217</v>
      </c>
      <c r="I43" s="290">
        <f>H43</f>
        <v>2119.8414639114217</v>
      </c>
      <c r="J43" s="290">
        <f t="shared" ref="J43:M43" si="12">I43</f>
        <v>2119.8414639114217</v>
      </c>
      <c r="K43" s="290">
        <f t="shared" si="12"/>
        <v>2119.8414639114217</v>
      </c>
      <c r="L43" s="290">
        <f t="shared" si="12"/>
        <v>2119.8414639114217</v>
      </c>
      <c r="M43" s="290">
        <f t="shared" si="12"/>
        <v>2119.8414639114217</v>
      </c>
    </row>
    <row r="44" spans="2:13" ht="15.75" customHeight="1" outlineLevel="1" x14ac:dyDescent="0.25">
      <c r="C44" s="20"/>
      <c r="G44" s="62"/>
      <c r="H44" s="62"/>
      <c r="I44" s="62"/>
      <c r="J44" s="62"/>
      <c r="K44" s="62"/>
      <c r="L44" s="62"/>
      <c r="M44" s="62"/>
    </row>
    <row r="45" spans="2:13" ht="15.75" customHeight="1" outlineLevel="1" x14ac:dyDescent="0.25">
      <c r="C45" s="289" t="s">
        <v>237</v>
      </c>
      <c r="D45" s="113" t="s">
        <v>193</v>
      </c>
      <c r="E45" s="47">
        <f>-E111/E$28</f>
        <v>15.528571428571428</v>
      </c>
      <c r="F45" s="47">
        <f t="shared" ref="F45:G45" si="13">-F111/F$28</f>
        <v>13.867647058823529</v>
      </c>
      <c r="G45" s="47">
        <f t="shared" si="13"/>
        <v>13.014925373134329</v>
      </c>
      <c r="H45" s="47">
        <f>G45*(1+H46)</f>
        <v>12.624477611940298</v>
      </c>
      <c r="I45" s="47">
        <f t="shared" ref="I45:M45" si="14">H45*(1+I46)</f>
        <v>12.245743283582089</v>
      </c>
      <c r="J45" s="47">
        <f t="shared" si="14"/>
        <v>11.878370985074625</v>
      </c>
      <c r="K45" s="47">
        <f t="shared" si="14"/>
        <v>11.640803565373131</v>
      </c>
      <c r="L45" s="47">
        <f t="shared" si="14"/>
        <v>11.407987494065669</v>
      </c>
      <c r="M45" s="47">
        <f t="shared" si="14"/>
        <v>11.179827744184355</v>
      </c>
    </row>
    <row r="46" spans="2:13" ht="15.75" customHeight="1" outlineLevel="1" x14ac:dyDescent="0.25">
      <c r="C46" s="277" t="s">
        <v>199</v>
      </c>
      <c r="D46" s="44" t="s">
        <v>25</v>
      </c>
      <c r="E46" s="172"/>
      <c r="F46" s="172">
        <f>F45/E45-1</f>
        <v>-0.1069592510417231</v>
      </c>
      <c r="G46" s="172">
        <f>G45/F45-1</f>
        <v>-6.1490004906538331E-2</v>
      </c>
      <c r="H46" s="256">
        <v>-0.03</v>
      </c>
      <c r="I46" s="173">
        <v>-0.03</v>
      </c>
      <c r="J46" s="173">
        <v>-0.03</v>
      </c>
      <c r="K46" s="244">
        <v>-0.02</v>
      </c>
      <c r="L46" s="173">
        <v>-0.02</v>
      </c>
      <c r="M46" s="173">
        <v>-0.02</v>
      </c>
    </row>
    <row r="47" spans="2:13" ht="15.75" customHeight="1" outlineLevel="1" x14ac:dyDescent="0.25">
      <c r="C47" s="20"/>
      <c r="G47" s="62"/>
      <c r="H47" s="62"/>
      <c r="I47" s="62"/>
      <c r="J47" s="62"/>
      <c r="K47" s="62"/>
      <c r="L47" s="62"/>
      <c r="M47" s="62"/>
    </row>
    <row r="48" spans="2:13" ht="15.75" customHeight="1" outlineLevel="1" x14ac:dyDescent="0.25">
      <c r="C48" s="289" t="s">
        <v>236</v>
      </c>
      <c r="D48" s="113" t="s">
        <v>193</v>
      </c>
      <c r="E48" s="47">
        <f>-E112/E$28</f>
        <v>56.099999999999987</v>
      </c>
      <c r="F48" s="47">
        <f t="shared" ref="F48:G48" si="15">-F112/F$28</f>
        <v>68.014705882352942</v>
      </c>
      <c r="G48" s="47">
        <f t="shared" si="15"/>
        <v>50.537313432835823</v>
      </c>
      <c r="H48" s="47">
        <f>G48*(1+H49)</f>
        <v>52.558805970149258</v>
      </c>
      <c r="I48" s="47">
        <f t="shared" ref="I48" si="16">H48*(1+I49)</f>
        <v>54.661158208955229</v>
      </c>
      <c r="J48" s="47">
        <f t="shared" ref="J48" si="17">I48*(1+J49)</f>
        <v>56.30099295522389</v>
      </c>
      <c r="K48" s="47">
        <f t="shared" ref="K48" si="18">J48*(1+K49)</f>
        <v>57.990022743880608</v>
      </c>
      <c r="L48" s="47">
        <f t="shared" ref="L48" si="19">K48*(1+L49)</f>
        <v>59.14982319875822</v>
      </c>
      <c r="M48" s="47">
        <f t="shared" ref="M48" si="20">L48*(1+M49)</f>
        <v>60.332819662733385</v>
      </c>
    </row>
    <row r="49" spans="3:13" ht="15.75" customHeight="1" outlineLevel="1" x14ac:dyDescent="0.25">
      <c r="C49" s="277" t="s">
        <v>199</v>
      </c>
      <c r="D49" s="44" t="s">
        <v>25</v>
      </c>
      <c r="E49" s="172"/>
      <c r="F49" s="172">
        <f>F48/E48-1</f>
        <v>0.2123833490615501</v>
      </c>
      <c r="G49" s="172">
        <f>G48/F48-1</f>
        <v>-0.25696490520371118</v>
      </c>
      <c r="H49" s="172">
        <f>H32</f>
        <v>0.04</v>
      </c>
      <c r="I49" s="172">
        <f t="shared" ref="I49:M49" si="21">I32</f>
        <v>0.04</v>
      </c>
      <c r="J49" s="172">
        <f t="shared" si="21"/>
        <v>0.03</v>
      </c>
      <c r="K49" s="172">
        <f t="shared" si="21"/>
        <v>0.03</v>
      </c>
      <c r="L49" s="172">
        <f t="shared" si="21"/>
        <v>0.02</v>
      </c>
      <c r="M49" s="172">
        <f t="shared" si="21"/>
        <v>0.02</v>
      </c>
    </row>
    <row r="50" spans="3:13" ht="15.75" customHeight="1" outlineLevel="1" x14ac:dyDescent="0.25">
      <c r="C50" s="20"/>
      <c r="G50" s="62"/>
      <c r="H50" s="62"/>
      <c r="I50" s="62"/>
      <c r="J50" s="62"/>
      <c r="K50" s="62"/>
      <c r="L50" s="62"/>
      <c r="M50" s="62"/>
    </row>
    <row r="51" spans="3:13" ht="15.75" customHeight="1" outlineLevel="1" x14ac:dyDescent="0.25">
      <c r="C51" s="198" t="s">
        <v>187</v>
      </c>
      <c r="D51" s="48" t="s">
        <v>168</v>
      </c>
      <c r="E51" s="166">
        <f>-E117</f>
        <v>3</v>
      </c>
      <c r="F51" s="166">
        <f t="shared" ref="F51:G51" si="22">-F117</f>
        <v>4.5</v>
      </c>
      <c r="G51" s="166">
        <f t="shared" si="22"/>
        <v>4.0999999999999996</v>
      </c>
      <c r="H51" s="201">
        <f>G51</f>
        <v>4.0999999999999996</v>
      </c>
      <c r="I51" s="201">
        <f t="shared" ref="I51:M51" si="23">H51</f>
        <v>4.0999999999999996</v>
      </c>
      <c r="J51" s="201">
        <f t="shared" si="23"/>
        <v>4.0999999999999996</v>
      </c>
      <c r="K51" s="201">
        <f t="shared" si="23"/>
        <v>4.0999999999999996</v>
      </c>
      <c r="L51" s="201">
        <f t="shared" si="23"/>
        <v>4.0999999999999996</v>
      </c>
      <c r="M51" s="201">
        <f t="shared" si="23"/>
        <v>4.0999999999999996</v>
      </c>
    </row>
    <row r="52" spans="3:13" ht="15.75" customHeight="1" outlineLevel="1" x14ac:dyDescent="0.25">
      <c r="C52" s="20"/>
      <c r="G52" s="62"/>
      <c r="H52" s="62"/>
      <c r="I52" s="62"/>
      <c r="J52" s="62"/>
      <c r="K52" s="62"/>
      <c r="L52" s="62"/>
      <c r="M52" s="62"/>
    </row>
    <row r="53" spans="3:13" ht="15.75" customHeight="1" outlineLevel="1" x14ac:dyDescent="0.25">
      <c r="C53" s="198" t="s">
        <v>136</v>
      </c>
      <c r="D53" s="48" t="s">
        <v>25</v>
      </c>
      <c r="E53" s="172">
        <f>-E124/E123</f>
        <v>0.53968253968253921</v>
      </c>
      <c r="F53" s="172">
        <f t="shared" ref="F53:G53" si="24">-F124/F123</f>
        <v>0.10537634408602135</v>
      </c>
      <c r="G53" s="172">
        <f t="shared" si="24"/>
        <v>0.26282051282051255</v>
      </c>
      <c r="H53" s="173">
        <v>0.19</v>
      </c>
      <c r="I53" s="173">
        <v>0.19</v>
      </c>
      <c r="J53" s="173">
        <v>0.19</v>
      </c>
      <c r="K53" s="173">
        <v>0.25</v>
      </c>
      <c r="L53" s="173">
        <v>0.25</v>
      </c>
      <c r="M53" s="173">
        <v>0.25</v>
      </c>
    </row>
    <row r="54" spans="3:13" ht="15.75" customHeight="1" outlineLevel="1" x14ac:dyDescent="0.25">
      <c r="C54" s="273" t="s">
        <v>195</v>
      </c>
      <c r="D54" s="48" t="s">
        <v>168</v>
      </c>
      <c r="E54" s="172"/>
      <c r="F54" s="172">
        <f>F126/E143</f>
        <v>0.52320675105485237</v>
      </c>
      <c r="G54" s="172">
        <f t="shared" ref="G54" si="25">G126/F143</f>
        <v>0.28962818003913893</v>
      </c>
      <c r="H54" s="173">
        <v>0.25</v>
      </c>
      <c r="I54" s="173">
        <v>0.22500000000000001</v>
      </c>
      <c r="J54" s="173">
        <v>0.2</v>
      </c>
      <c r="K54" s="173">
        <v>0.17499999999999999</v>
      </c>
      <c r="L54" s="173">
        <v>0.15</v>
      </c>
      <c r="M54" s="173">
        <v>0.15</v>
      </c>
    </row>
    <row r="55" spans="3:13" ht="15.75" customHeight="1" outlineLevel="1" x14ac:dyDescent="0.25">
      <c r="C55" s="289" t="s">
        <v>238</v>
      </c>
      <c r="D55" s="48" t="s">
        <v>25</v>
      </c>
      <c r="E55" s="172">
        <f>E172/E126</f>
        <v>0.3125</v>
      </c>
      <c r="F55" s="172">
        <f t="shared" ref="F55:G55" si="26">F172/F126</f>
        <v>0.282258064516129</v>
      </c>
      <c r="G55" s="172">
        <f t="shared" si="26"/>
        <v>0.39189189189189189</v>
      </c>
      <c r="H55" s="295">
        <f>AVERAGE(E55:G55)</f>
        <v>0.32888331880267363</v>
      </c>
      <c r="I55" s="295">
        <f>H55</f>
        <v>0.32888331880267363</v>
      </c>
      <c r="J55" s="295">
        <f t="shared" ref="J55:M55" si="27">I55</f>
        <v>0.32888331880267363</v>
      </c>
      <c r="K55" s="295">
        <f t="shared" si="27"/>
        <v>0.32888331880267363</v>
      </c>
      <c r="L55" s="295">
        <f t="shared" si="27"/>
        <v>0.32888331880267363</v>
      </c>
      <c r="M55" s="295">
        <f t="shared" si="27"/>
        <v>0.32888331880267363</v>
      </c>
    </row>
    <row r="56" spans="3:13" ht="15.75" customHeight="1" outlineLevel="1" x14ac:dyDescent="0.25">
      <c r="C56" s="20"/>
      <c r="G56" s="62"/>
      <c r="H56" s="62"/>
      <c r="I56" s="62"/>
      <c r="J56" s="62"/>
      <c r="K56" s="62"/>
      <c r="L56" s="62"/>
      <c r="M56" s="62"/>
    </row>
    <row r="57" spans="3:13" ht="15.75" customHeight="1" outlineLevel="1" x14ac:dyDescent="0.25">
      <c r="C57" s="273" t="s">
        <v>225</v>
      </c>
      <c r="D57" s="113" t="s">
        <v>235</v>
      </c>
      <c r="E57" s="279">
        <f>-E116/E13</f>
        <v>0.1637472602739726</v>
      </c>
      <c r="F57" s="279">
        <f t="shared" ref="F57:G57" si="28">-F116/F13</f>
        <v>0.15181062231759657</v>
      </c>
      <c r="G57" s="279">
        <f t="shared" si="28"/>
        <v>0.14968540268456376</v>
      </c>
      <c r="H57" s="280">
        <v>0.15</v>
      </c>
      <c r="I57" s="280">
        <v>0.15</v>
      </c>
      <c r="J57" s="280">
        <v>0.15</v>
      </c>
      <c r="K57" s="280">
        <v>0.16</v>
      </c>
      <c r="L57" s="280">
        <v>0.16</v>
      </c>
      <c r="M57" s="280">
        <v>0.16</v>
      </c>
    </row>
    <row r="58" spans="3:13" ht="15.75" customHeight="1" outlineLevel="1" x14ac:dyDescent="0.25">
      <c r="C58" s="273" t="s">
        <v>200</v>
      </c>
      <c r="D58" s="113" t="s">
        <v>235</v>
      </c>
      <c r="E58" s="279"/>
      <c r="F58" s="279"/>
      <c r="G58" s="279"/>
      <c r="H58" s="280">
        <v>0.2</v>
      </c>
      <c r="I58" s="280">
        <v>0.2</v>
      </c>
      <c r="J58" s="280">
        <v>0.2</v>
      </c>
      <c r="K58" s="280">
        <v>0.21</v>
      </c>
      <c r="L58" s="280">
        <v>0.21</v>
      </c>
      <c r="M58" s="280">
        <v>0.21</v>
      </c>
    </row>
    <row r="59" spans="3:13" ht="15.75" customHeight="1" outlineLevel="1" x14ac:dyDescent="0.25">
      <c r="C59" s="20"/>
      <c r="F59" s="121"/>
      <c r="G59" s="121"/>
      <c r="H59" s="62"/>
      <c r="I59" s="62"/>
      <c r="J59" s="62"/>
      <c r="K59" s="62"/>
      <c r="L59" s="62"/>
      <c r="M59" s="62"/>
    </row>
    <row r="60" spans="3:13" ht="15.75" customHeight="1" outlineLevel="1" x14ac:dyDescent="0.25">
      <c r="C60" s="292" t="s">
        <v>228</v>
      </c>
      <c r="D60" s="48" t="s">
        <v>168</v>
      </c>
      <c r="F60" s="121"/>
      <c r="G60" s="121"/>
      <c r="H60" s="109">
        <f>MIN($H$15*CapEx_per_Plant/Plant_Constr_Time,$H$15*CapEx_per_Plant-SUM($G60:G60))</f>
        <v>33.333333333333336</v>
      </c>
      <c r="I60" s="109">
        <f>MIN($H$15*CapEx_per_Plant/Plant_Constr_Time,$H$15*CapEx_per_Plant-SUM($G60:H60))</f>
        <v>33.333333333333336</v>
      </c>
      <c r="J60" s="109">
        <f>MIN($H$15*CapEx_per_Plant/Plant_Constr_Time,$H$15*CapEx_per_Plant-SUM($G60:I60))</f>
        <v>33.333333333333329</v>
      </c>
      <c r="K60" s="109">
        <f>MIN($H$15*CapEx_per_Plant/Plant_Constr_Time,$H$15*CapEx_per_Plant-SUM($G60:J60))</f>
        <v>0</v>
      </c>
      <c r="L60" s="109">
        <f>MIN($H$15*CapEx_per_Plant/Plant_Constr_Time,$H$15*CapEx_per_Plant-SUM($G60:K60))</f>
        <v>0</v>
      </c>
      <c r="M60" s="109">
        <f>MIN($H$15*CapEx_per_Plant/Plant_Constr_Time,$H$15*CapEx_per_Plant-SUM($G60:L60))</f>
        <v>0</v>
      </c>
    </row>
    <row r="61" spans="3:13" ht="15.75" customHeight="1" outlineLevel="1" x14ac:dyDescent="0.25">
      <c r="C61" s="292" t="s">
        <v>229</v>
      </c>
      <c r="D61" s="48" t="s">
        <v>168</v>
      </c>
      <c r="F61" s="121"/>
      <c r="G61" s="121"/>
      <c r="H61" s="109"/>
      <c r="I61" s="109">
        <f>MIN($I$15*CapEx_per_Plant/Plant_Constr_Time,$I$15*CapEx_per_Plant-SUM($G61:H61))</f>
        <v>33.333333333333336</v>
      </c>
      <c r="J61" s="109">
        <f>MIN($I$15*CapEx_per_Plant/Plant_Constr_Time,$I$15*CapEx_per_Plant-SUM($G61:I61))</f>
        <v>33.333333333333336</v>
      </c>
      <c r="K61" s="109">
        <f>MIN($I$15*CapEx_per_Plant/Plant_Constr_Time,$I$15*CapEx_per_Plant-SUM($G61:J61))</f>
        <v>33.333333333333329</v>
      </c>
      <c r="L61" s="109">
        <f>MIN($I$15*CapEx_per_Plant/Plant_Constr_Time,$I$15*CapEx_per_Plant-SUM($G61:K61))</f>
        <v>0</v>
      </c>
      <c r="M61" s="109">
        <f>MIN($I$15*CapEx_per_Plant/Plant_Constr_Time,$I$15*CapEx_per_Plant-SUM($G61:L61))</f>
        <v>0</v>
      </c>
    </row>
    <row r="62" spans="3:13" ht="15.75" customHeight="1" outlineLevel="1" x14ac:dyDescent="0.25">
      <c r="C62" s="292" t="s">
        <v>230</v>
      </c>
      <c r="D62" s="48" t="s">
        <v>168</v>
      </c>
      <c r="F62" s="121"/>
      <c r="G62" s="121"/>
      <c r="H62" s="109"/>
      <c r="I62" s="109"/>
      <c r="J62" s="109">
        <f>MIN($J$15*CapEx_per_Plant/Plant_Constr_Time,$J$15*CapEx_per_Plant-SUM($G62:I62))</f>
        <v>33.333333333333336</v>
      </c>
      <c r="K62" s="109">
        <f>MIN($J$15*CapEx_per_Plant/Plant_Constr_Time,$J$15*CapEx_per_Plant-SUM($G62:J62))</f>
        <v>33.333333333333336</v>
      </c>
      <c r="L62" s="109">
        <f>MIN($J$15*CapEx_per_Plant/Plant_Constr_Time,$J$15*CapEx_per_Plant-SUM($G62:K62))</f>
        <v>33.333333333333329</v>
      </c>
      <c r="M62" s="109">
        <f>MIN($J$15*CapEx_per_Plant/Plant_Constr_Time,$J$15*CapEx_per_Plant-SUM($G62:L62))</f>
        <v>0</v>
      </c>
    </row>
    <row r="63" spans="3:13" ht="15.75" customHeight="1" outlineLevel="1" x14ac:dyDescent="0.25">
      <c r="C63" s="292" t="s">
        <v>231</v>
      </c>
      <c r="D63" s="48" t="s">
        <v>168</v>
      </c>
      <c r="F63" s="121"/>
      <c r="G63" s="121"/>
      <c r="H63" s="109"/>
      <c r="I63" s="109"/>
      <c r="J63" s="109"/>
      <c r="K63" s="109">
        <f>MIN($K$15*CapEx_per_Plant/Plant_Constr_Time,$K$15*CapEx_per_Plant-SUM($G63:J63))</f>
        <v>33.333333333333336</v>
      </c>
      <c r="L63" s="109">
        <f>MIN($K$15*CapEx_per_Plant/Plant_Constr_Time,$K$15*CapEx_per_Plant-SUM($G63:K63))</f>
        <v>33.333333333333336</v>
      </c>
      <c r="M63" s="109">
        <f>MIN($K$15*CapEx_per_Plant/Plant_Constr_Time,$K$15*CapEx_per_Plant-SUM($G63:L63))</f>
        <v>33.333333333333329</v>
      </c>
    </row>
    <row r="64" spans="3:13" ht="15.75" customHeight="1" outlineLevel="1" x14ac:dyDescent="0.25">
      <c r="C64" s="292" t="s">
        <v>232</v>
      </c>
      <c r="D64" s="48" t="s">
        <v>168</v>
      </c>
      <c r="F64" s="121"/>
      <c r="G64" s="121"/>
      <c r="H64" s="109"/>
      <c r="I64" s="109"/>
      <c r="J64" s="109"/>
      <c r="K64" s="109"/>
      <c r="L64" s="109">
        <f>MIN($L$15*CapEx_per_Plant/Plant_Constr_Time,$L$15*CapEx_per_Plant-SUM($G64:K64))</f>
        <v>0</v>
      </c>
      <c r="M64" s="109">
        <f>MIN($L$15*CapEx_per_Plant/Plant_Constr_Time,$L$15*CapEx_per_Plant-SUM($G64:L64))</f>
        <v>0</v>
      </c>
    </row>
    <row r="65" spans="3:13" ht="15.75" customHeight="1" outlineLevel="1" x14ac:dyDescent="0.25">
      <c r="C65" s="292" t="s">
        <v>233</v>
      </c>
      <c r="D65" s="45" t="s">
        <v>168</v>
      </c>
      <c r="F65" s="121"/>
      <c r="G65" s="121"/>
      <c r="H65" s="109"/>
      <c r="I65" s="109"/>
      <c r="J65" s="109"/>
      <c r="K65" s="109"/>
      <c r="L65" s="109"/>
      <c r="M65" s="109">
        <f>MIN($M$15*CapEx_per_Plant/Plant_Constr_Time,$M$15*CapEx_per_Plant-SUM($G65:L65))</f>
        <v>0</v>
      </c>
    </row>
    <row r="66" spans="3:13" ht="15.75" customHeight="1" outlineLevel="1" x14ac:dyDescent="0.25">
      <c r="C66" s="68" t="s">
        <v>234</v>
      </c>
      <c r="D66" s="48" t="s">
        <v>168</v>
      </c>
      <c r="E66" s="120"/>
      <c r="F66" s="180"/>
      <c r="G66" s="180"/>
      <c r="H66" s="293">
        <f>SUM(H60:H65)</f>
        <v>33.333333333333336</v>
      </c>
      <c r="I66" s="293">
        <f t="shared" ref="I66:M66" si="29">SUM(I60:I65)</f>
        <v>66.666666666666671</v>
      </c>
      <c r="J66" s="293">
        <f t="shared" si="29"/>
        <v>100</v>
      </c>
      <c r="K66" s="293">
        <f t="shared" si="29"/>
        <v>100</v>
      </c>
      <c r="L66" s="293">
        <f t="shared" si="29"/>
        <v>66.666666666666657</v>
      </c>
      <c r="M66" s="293">
        <f t="shared" si="29"/>
        <v>33.333333333333329</v>
      </c>
    </row>
    <row r="67" spans="3:13" ht="15.75" customHeight="1" outlineLevel="1" x14ac:dyDescent="0.25">
      <c r="C67" s="273"/>
      <c r="D67" s="113"/>
      <c r="F67" s="121"/>
      <c r="G67" s="121"/>
      <c r="H67" s="82"/>
      <c r="I67" s="82"/>
      <c r="J67" s="82"/>
      <c r="K67" s="82"/>
      <c r="L67" s="82"/>
      <c r="M67" s="82"/>
    </row>
    <row r="68" spans="3:13" ht="15.75" customHeight="1" outlineLevel="1" x14ac:dyDescent="0.25">
      <c r="C68" s="273" t="s">
        <v>224</v>
      </c>
      <c r="D68" s="48" t="s">
        <v>168</v>
      </c>
      <c r="F68" s="121"/>
      <c r="G68" s="121"/>
      <c r="H68" s="109">
        <f>MIN(SUM($H66:H66)-SUM($G68:G68),SUM($H66:H66)/Plant_Depr_Period)</f>
        <v>1.3333333333333335</v>
      </c>
      <c r="I68" s="109">
        <f>MIN(SUM($H66:I66)-SUM($G68:H68),SUM($H66:I66)/Plant_Depr_Period)</f>
        <v>4</v>
      </c>
      <c r="J68" s="109">
        <f>MIN(SUM($H66:J66)-SUM($G68:I68),SUM($H66:J66)/Plant_Depr_Period)</f>
        <v>8</v>
      </c>
      <c r="K68" s="109">
        <f>MIN(SUM($H66:K66)-SUM($G68:J68),SUM($H66:K66)/Plant_Depr_Period)</f>
        <v>12</v>
      </c>
      <c r="L68" s="109">
        <f>MIN(SUM($H66:L66)-SUM($G68:K68),SUM($H66:L66)/Plant_Depr_Period)</f>
        <v>14.666666666666664</v>
      </c>
      <c r="M68" s="109">
        <f>MIN(SUM($H66:M66)-SUM($G68:L68),SUM($H66:M66)/Plant_Depr_Period)</f>
        <v>15.999999999999998</v>
      </c>
    </row>
    <row r="69" spans="3:13" ht="15.75" customHeight="1" outlineLevel="1" x14ac:dyDescent="0.25">
      <c r="C69" s="20"/>
      <c r="F69" s="121"/>
      <c r="G69" s="121"/>
      <c r="H69" s="62"/>
      <c r="I69" s="62"/>
      <c r="J69" s="62"/>
      <c r="K69" s="62"/>
      <c r="L69" s="62"/>
      <c r="M69" s="62"/>
    </row>
    <row r="70" spans="3:13" ht="15.75" customHeight="1" outlineLevel="1" x14ac:dyDescent="0.25">
      <c r="C70" s="273" t="s">
        <v>220</v>
      </c>
      <c r="D70" s="113" t="s">
        <v>235</v>
      </c>
      <c r="E70" s="279">
        <f>-E118/E$13</f>
        <v>5.0627739726027396E-2</v>
      </c>
      <c r="F70" s="279">
        <f t="shared" ref="F70:G70" si="30">-F118/F$13</f>
        <v>7.7876877682403436E-2</v>
      </c>
      <c r="G70" s="279">
        <f t="shared" si="30"/>
        <v>9.4064597315436232E-2</v>
      </c>
      <c r="H70" s="280">
        <v>7.0000000000000007E-2</v>
      </c>
      <c r="I70" s="280">
        <v>7.0000000000000007E-2</v>
      </c>
      <c r="J70" s="280">
        <v>7.0000000000000007E-2</v>
      </c>
      <c r="K70" s="280">
        <v>0.08</v>
      </c>
      <c r="L70" s="280">
        <v>0.08</v>
      </c>
      <c r="M70" s="280">
        <v>0.08</v>
      </c>
    </row>
    <row r="71" spans="3:13" ht="15.75" customHeight="1" outlineLevel="1" x14ac:dyDescent="0.25">
      <c r="C71" s="273" t="s">
        <v>217</v>
      </c>
      <c r="D71" s="113" t="s">
        <v>235</v>
      </c>
      <c r="E71" s="279">
        <f t="shared" ref="E71:G71" si="31">-E119/E$13</f>
        <v>5.0937500000000004E-2</v>
      </c>
      <c r="F71" s="279">
        <f t="shared" si="31"/>
        <v>8.634146341463414E-2</v>
      </c>
      <c r="G71" s="279">
        <f t="shared" si="31"/>
        <v>8.696428571428573E-2</v>
      </c>
      <c r="H71" s="280">
        <v>7.0000000000000007E-2</v>
      </c>
      <c r="I71" s="280">
        <v>7.0000000000000007E-2</v>
      </c>
      <c r="J71" s="280">
        <v>7.0000000000000007E-2</v>
      </c>
      <c r="K71" s="280">
        <v>0.08</v>
      </c>
      <c r="L71" s="280">
        <v>0.08</v>
      </c>
      <c r="M71" s="280">
        <v>0.08</v>
      </c>
    </row>
    <row r="72" spans="3:13" ht="15.75" customHeight="1" outlineLevel="1" x14ac:dyDescent="0.25">
      <c r="C72" s="289" t="s">
        <v>227</v>
      </c>
      <c r="D72" s="113" t="s">
        <v>235</v>
      </c>
      <c r="E72" s="279">
        <f>-E193/E$13</f>
        <v>5.5000000000000007E-2</v>
      </c>
      <c r="F72" s="279">
        <f t="shared" ref="F72:G72" si="32">-F193/F$13</f>
        <v>7.4999999999999914E-2</v>
      </c>
      <c r="G72" s="279">
        <f t="shared" si="32"/>
        <v>9.0937500000000088E-2</v>
      </c>
      <c r="H72" s="280">
        <v>7.0000000000000007E-2</v>
      </c>
      <c r="I72" s="280">
        <v>7.0000000000000007E-2</v>
      </c>
      <c r="J72" s="280">
        <v>7.0000000000000007E-2</v>
      </c>
      <c r="K72" s="280">
        <v>0.08</v>
      </c>
      <c r="L72" s="280">
        <v>0.08</v>
      </c>
      <c r="M72" s="280">
        <v>0.08</v>
      </c>
    </row>
    <row r="73" spans="3:13" ht="15.75" customHeight="1" outlineLevel="1" x14ac:dyDescent="0.25">
      <c r="C73" s="273"/>
      <c r="D73" s="113"/>
      <c r="E73" s="166"/>
      <c r="F73" s="166"/>
      <c r="G73" s="166"/>
      <c r="H73" s="82"/>
      <c r="I73" s="82"/>
      <c r="J73" s="82"/>
      <c r="K73" s="82"/>
      <c r="L73" s="82"/>
      <c r="M73" s="82"/>
    </row>
    <row r="74" spans="3:13" ht="15.75" customHeight="1" outlineLevel="1" x14ac:dyDescent="0.25">
      <c r="C74" s="273" t="s">
        <v>218</v>
      </c>
      <c r="D74" s="48" t="s">
        <v>168</v>
      </c>
      <c r="E74" s="166">
        <f>E185</f>
        <v>-35.1</v>
      </c>
      <c r="F74" s="166">
        <f t="shared" ref="F74:G74" si="33">F185</f>
        <v>-12.3</v>
      </c>
      <c r="G74" s="166">
        <f t="shared" si="33"/>
        <v>-119.2</v>
      </c>
      <c r="H74" s="109">
        <f t="shared" ref="H74:M74" si="34">-H14*Lease_Value_per_Facility</f>
        <v>-75</v>
      </c>
      <c r="I74" s="109">
        <f t="shared" si="34"/>
        <v>-75</v>
      </c>
      <c r="J74" s="109">
        <f t="shared" si="34"/>
        <v>-75</v>
      </c>
      <c r="K74" s="109">
        <f t="shared" si="34"/>
        <v>-75</v>
      </c>
      <c r="L74" s="109">
        <f t="shared" si="34"/>
        <v>-75</v>
      </c>
      <c r="M74" s="109">
        <f t="shared" si="34"/>
        <v>-75</v>
      </c>
    </row>
    <row r="75" spans="3:13" ht="15.75" customHeight="1" outlineLevel="1" x14ac:dyDescent="0.25">
      <c r="C75" s="273" t="s">
        <v>219</v>
      </c>
      <c r="D75" s="48" t="s">
        <v>168</v>
      </c>
      <c r="E75" s="166">
        <f>E192</f>
        <v>35.1</v>
      </c>
      <c r="F75" s="166">
        <f t="shared" ref="F75:G75" si="35">F192</f>
        <v>12.3</v>
      </c>
      <c r="G75" s="166">
        <f t="shared" si="35"/>
        <v>119.2</v>
      </c>
      <c r="H75" s="109">
        <f>-H74</f>
        <v>75</v>
      </c>
      <c r="I75" s="109">
        <f t="shared" ref="I75:M75" si="36">-I74</f>
        <v>75</v>
      </c>
      <c r="J75" s="109">
        <f t="shared" si="36"/>
        <v>75</v>
      </c>
      <c r="K75" s="109">
        <f t="shared" si="36"/>
        <v>75</v>
      </c>
      <c r="L75" s="109">
        <f t="shared" si="36"/>
        <v>75</v>
      </c>
      <c r="M75" s="109">
        <f t="shared" si="36"/>
        <v>75</v>
      </c>
    </row>
    <row r="76" spans="3:13" ht="15.75" customHeight="1" outlineLevel="1" x14ac:dyDescent="0.25">
      <c r="H76" s="121"/>
    </row>
    <row r="77" spans="3:13" ht="15.75" customHeight="1" outlineLevel="1" x14ac:dyDescent="0.25">
      <c r="C77" s="299" t="s">
        <v>248</v>
      </c>
      <c r="D77" s="48" t="s">
        <v>25</v>
      </c>
      <c r="G77" s="256">
        <v>7.0000000000000007E-2</v>
      </c>
      <c r="H77" s="121"/>
    </row>
    <row r="78" spans="3:13" ht="15.75" customHeight="1" outlineLevel="1" x14ac:dyDescent="0.25">
      <c r="C78" s="116" t="s">
        <v>157</v>
      </c>
      <c r="D78" s="48" t="s">
        <v>168</v>
      </c>
      <c r="E78" s="166">
        <f>E120</f>
        <v>-14.8</v>
      </c>
      <c r="F78" s="166">
        <f t="shared" ref="F78:G78" si="37">F120</f>
        <v>-17.170731707317071</v>
      </c>
      <c r="G78" s="166">
        <f t="shared" si="37"/>
        <v>-20.87142857142857</v>
      </c>
      <c r="H78" s="166">
        <f>-G155*$G$77</f>
        <v>0</v>
      </c>
      <c r="I78" s="166">
        <f t="shared" ref="I78:M78" si="38">-H155*$G$77</f>
        <v>0</v>
      </c>
      <c r="J78" s="166">
        <f t="shared" si="38"/>
        <v>0</v>
      </c>
      <c r="K78" s="166">
        <f t="shared" si="38"/>
        <v>0</v>
      </c>
      <c r="L78" s="166">
        <f t="shared" si="38"/>
        <v>0</v>
      </c>
      <c r="M78" s="166">
        <f t="shared" si="38"/>
        <v>0</v>
      </c>
    </row>
    <row r="79" spans="3:13" ht="15.75" customHeight="1" outlineLevel="1" x14ac:dyDescent="0.25">
      <c r="C79" s="299" t="s">
        <v>246</v>
      </c>
      <c r="D79" s="48" t="s">
        <v>168</v>
      </c>
      <c r="E79" s="166">
        <f t="shared" ref="E79:G79" si="39">E121</f>
        <v>21.8</v>
      </c>
      <c r="F79" s="166">
        <f t="shared" si="39"/>
        <v>20</v>
      </c>
      <c r="G79" s="166">
        <f t="shared" si="39"/>
        <v>22.5</v>
      </c>
      <c r="H79" s="65">
        <v>0</v>
      </c>
      <c r="I79" s="201">
        <f>H79</f>
        <v>0</v>
      </c>
      <c r="J79" s="201">
        <f t="shared" ref="J79:M79" si="40">I79</f>
        <v>0</v>
      </c>
      <c r="K79" s="201">
        <f t="shared" si="40"/>
        <v>0</v>
      </c>
      <c r="L79" s="201">
        <f t="shared" si="40"/>
        <v>0</v>
      </c>
      <c r="M79" s="201">
        <f t="shared" si="40"/>
        <v>0</v>
      </c>
    </row>
    <row r="80" spans="3:13" ht="15.75" customHeight="1" outlineLevel="1" x14ac:dyDescent="0.25">
      <c r="C80" s="116" t="s">
        <v>247</v>
      </c>
      <c r="D80" s="48" t="s">
        <v>168</v>
      </c>
      <c r="E80" s="166">
        <f t="shared" ref="E80:G80" si="41">E122</f>
        <v>0</v>
      </c>
      <c r="F80" s="166">
        <f t="shared" si="41"/>
        <v>0</v>
      </c>
      <c r="G80" s="166">
        <f t="shared" si="41"/>
        <v>0</v>
      </c>
      <c r="H80" s="65">
        <v>0</v>
      </c>
      <c r="I80" s="201">
        <f t="shared" ref="I80:M80" si="42">H80</f>
        <v>0</v>
      </c>
      <c r="J80" s="201">
        <f t="shared" si="42"/>
        <v>0</v>
      </c>
      <c r="K80" s="201">
        <f t="shared" si="42"/>
        <v>0</v>
      </c>
      <c r="L80" s="201">
        <f t="shared" si="42"/>
        <v>0</v>
      </c>
      <c r="M80" s="201">
        <f t="shared" si="42"/>
        <v>0</v>
      </c>
    </row>
    <row r="81" spans="2:13" ht="15.75" customHeight="1" x14ac:dyDescent="0.25">
      <c r="H81" s="121"/>
    </row>
    <row r="82" spans="2:13" ht="15.75" customHeight="1" x14ac:dyDescent="0.25">
      <c r="B82" s="9" t="s">
        <v>245</v>
      </c>
      <c r="C82" s="118"/>
      <c r="D82" s="118"/>
      <c r="E82" s="203">
        <f>$E$6</f>
        <v>43190</v>
      </c>
      <c r="F82" s="203">
        <f>$F$6</f>
        <v>43555</v>
      </c>
      <c r="G82" s="203">
        <f>$G$6</f>
        <v>43921</v>
      </c>
      <c r="H82" s="203">
        <f>$H$6</f>
        <v>44286</v>
      </c>
      <c r="I82" s="203">
        <f>$I$6</f>
        <v>44651</v>
      </c>
      <c r="J82" s="203">
        <f>$J$6</f>
        <v>45016</v>
      </c>
      <c r="K82" s="203">
        <f>$K$6</f>
        <v>45382</v>
      </c>
      <c r="L82" s="203">
        <f>$L$6</f>
        <v>45747</v>
      </c>
      <c r="M82" s="203">
        <f>$M$6</f>
        <v>46112</v>
      </c>
    </row>
    <row r="83" spans="2:13" ht="15.75" customHeight="1" outlineLevel="1" x14ac:dyDescent="0.25">
      <c r="C83" s="296" t="s">
        <v>239</v>
      </c>
      <c r="D83" s="48" t="s">
        <v>25</v>
      </c>
      <c r="E83" s="172">
        <f>E134/E107</f>
        <v>0.13347699328178475</v>
      </c>
      <c r="F83" s="172">
        <f t="shared" ref="F83:G83" si="43">F134/F107</f>
        <v>0.15503784295175022</v>
      </c>
      <c r="G83" s="172">
        <f t="shared" si="43"/>
        <v>0.36895910780669139</v>
      </c>
      <c r="H83" s="297">
        <v>0.37</v>
      </c>
      <c r="I83" s="298">
        <v>0.375</v>
      </c>
      <c r="J83" s="298">
        <v>0.38</v>
      </c>
      <c r="K83" s="298">
        <v>0.38500000000000001</v>
      </c>
      <c r="L83" s="298">
        <v>0.39</v>
      </c>
      <c r="M83" s="298">
        <v>0.39500000000000002</v>
      </c>
    </row>
    <row r="84" spans="2:13" ht="15.75" customHeight="1" outlineLevel="1" x14ac:dyDescent="0.25">
      <c r="C84" s="289" t="s">
        <v>240</v>
      </c>
      <c r="D84" s="48" t="s">
        <v>25</v>
      </c>
      <c r="E84" s="172">
        <f>-E135/E111</f>
        <v>1.5758969641214349</v>
      </c>
      <c r="F84" s="172">
        <f t="shared" ref="F84:G84" si="44">-F135/F111</f>
        <v>2.0572640509013786</v>
      </c>
      <c r="G84" s="172">
        <f t="shared" si="44"/>
        <v>0.3428899082568807</v>
      </c>
      <c r="H84" s="297">
        <v>0.35</v>
      </c>
      <c r="I84" s="298">
        <v>0.36</v>
      </c>
      <c r="J84" s="298">
        <v>0.37</v>
      </c>
      <c r="K84" s="298">
        <v>0.38</v>
      </c>
      <c r="L84" s="298">
        <v>0.39</v>
      </c>
      <c r="M84" s="298">
        <v>0.4</v>
      </c>
    </row>
    <row r="85" spans="2:13" ht="15.75" customHeight="1" outlineLevel="1" x14ac:dyDescent="0.25">
      <c r="C85" s="289" t="s">
        <v>241</v>
      </c>
      <c r="D85" s="48" t="s">
        <v>25</v>
      </c>
      <c r="E85" s="172">
        <f>E144/E107</f>
        <v>0.33413613892762078</v>
      </c>
      <c r="F85" s="172">
        <f t="shared" ref="F85:G85" si="45">F144/F107</f>
        <v>0.3030983916745506</v>
      </c>
      <c r="G85" s="172">
        <f t="shared" si="45"/>
        <v>0.34718534253850236</v>
      </c>
      <c r="H85" s="257">
        <f>AVERAGE(E85:G85)</f>
        <v>0.32813995771355792</v>
      </c>
      <c r="I85" s="206">
        <f>H85</f>
        <v>0.32813995771355792</v>
      </c>
      <c r="J85" s="206">
        <f t="shared" ref="J85:M85" si="46">I85</f>
        <v>0.32813995771355792</v>
      </c>
      <c r="K85" s="206">
        <f t="shared" si="46"/>
        <v>0.32813995771355792</v>
      </c>
      <c r="L85" s="206">
        <f t="shared" si="46"/>
        <v>0.32813995771355792</v>
      </c>
      <c r="M85" s="206">
        <f t="shared" si="46"/>
        <v>0.32813995771355792</v>
      </c>
    </row>
    <row r="86" spans="2:13" ht="15.75" customHeight="1" outlineLevel="1" x14ac:dyDescent="0.25">
      <c r="C86" s="157"/>
      <c r="D86" s="48"/>
      <c r="H86" s="83"/>
      <c r="I86" s="204"/>
      <c r="J86" s="204"/>
      <c r="K86" s="204"/>
      <c r="L86" s="204"/>
      <c r="M86" s="204"/>
    </row>
    <row r="87" spans="2:13" ht="15.75" customHeight="1" outlineLevel="1" x14ac:dyDescent="0.25">
      <c r="C87" s="289" t="s">
        <v>242</v>
      </c>
      <c r="D87" s="48" t="s">
        <v>25</v>
      </c>
      <c r="E87" s="172">
        <f>-E151/E113</f>
        <v>0.28213558791294818</v>
      </c>
      <c r="F87" s="172">
        <f t="shared" ref="F87:G87" si="47">-F151/F113</f>
        <v>0.21915840873186845</v>
      </c>
      <c r="G87" s="172">
        <f t="shared" si="47"/>
        <v>0.25702884092145839</v>
      </c>
      <c r="H87" s="257">
        <f t="shared" ref="H87:H88" si="48">AVERAGE(E87:G87)</f>
        <v>0.25277427918875833</v>
      </c>
      <c r="I87" s="206">
        <f t="shared" ref="I87:M88" si="49">H87</f>
        <v>0.25277427918875833</v>
      </c>
      <c r="J87" s="206">
        <f t="shared" si="49"/>
        <v>0.25277427918875833</v>
      </c>
      <c r="K87" s="206">
        <f t="shared" si="49"/>
        <v>0.25277427918875833</v>
      </c>
      <c r="L87" s="206">
        <f t="shared" si="49"/>
        <v>0.25277427918875833</v>
      </c>
      <c r="M87" s="206">
        <f t="shared" si="49"/>
        <v>0.25277427918875833</v>
      </c>
    </row>
    <row r="88" spans="2:13" ht="15.75" customHeight="1" outlineLevel="1" x14ac:dyDescent="0.25">
      <c r="C88" s="289" t="s">
        <v>243</v>
      </c>
      <c r="D88" s="48" t="s">
        <v>25</v>
      </c>
      <c r="E88" s="172">
        <f>-E158/E113</f>
        <v>0.50508846093627691</v>
      </c>
      <c r="F88" s="172">
        <f t="shared" ref="F88:G88" si="50">-F158/F113</f>
        <v>0.46258796495763327</v>
      </c>
      <c r="G88" s="172">
        <f t="shared" si="50"/>
        <v>0.48612370760021772</v>
      </c>
      <c r="H88" s="257">
        <f t="shared" si="48"/>
        <v>0.48460004449804267</v>
      </c>
      <c r="I88" s="206">
        <f t="shared" si="49"/>
        <v>0.48460004449804267</v>
      </c>
      <c r="J88" s="206">
        <f t="shared" si="49"/>
        <v>0.48460004449804267</v>
      </c>
      <c r="K88" s="206">
        <f t="shared" si="49"/>
        <v>0.48460004449804267</v>
      </c>
      <c r="L88" s="206">
        <f t="shared" si="49"/>
        <v>0.48460004449804267</v>
      </c>
      <c r="M88" s="206">
        <f t="shared" si="49"/>
        <v>0.48460004449804267</v>
      </c>
    </row>
    <row r="89" spans="2:13" ht="15.75" customHeight="1" outlineLevel="1" x14ac:dyDescent="0.25"/>
    <row r="90" spans="2:13" ht="15.75" customHeight="1" outlineLevel="1" x14ac:dyDescent="0.25">
      <c r="C90" s="502" t="s">
        <v>388</v>
      </c>
      <c r="D90" s="48" t="s">
        <v>25</v>
      </c>
      <c r="E90" s="172">
        <f>-E177/E124</f>
        <v>0.3903743315508022</v>
      </c>
      <c r="F90" s="172">
        <f t="shared" ref="F90:G90" si="51">-F177/F124</f>
        <v>1.6530612244897962</v>
      </c>
      <c r="G90" s="172">
        <f t="shared" si="51"/>
        <v>1.3617886178861789</v>
      </c>
      <c r="H90" s="173">
        <v>0.3</v>
      </c>
      <c r="I90" s="173">
        <v>0.25</v>
      </c>
      <c r="J90" s="173">
        <v>0.2</v>
      </c>
      <c r="K90" s="173">
        <v>0.15</v>
      </c>
      <c r="L90" s="173">
        <v>0.15</v>
      </c>
      <c r="M90" s="173">
        <v>0.15</v>
      </c>
    </row>
    <row r="91" spans="2:13" ht="15.75" customHeight="1" outlineLevel="1" x14ac:dyDescent="0.25"/>
    <row r="92" spans="2:13" ht="15.75" customHeight="1" outlineLevel="1" x14ac:dyDescent="0.25">
      <c r="C92" s="299" t="s">
        <v>249</v>
      </c>
      <c r="D92" s="48" t="s">
        <v>25</v>
      </c>
      <c r="E92" s="172">
        <f>E178/E107</f>
        <v>1.9394093040943087E-2</v>
      </c>
      <c r="F92" s="172">
        <f t="shared" ref="F92:G92" si="52">F178/F107</f>
        <v>2.1050141911069065E-2</v>
      </c>
      <c r="G92" s="172">
        <f t="shared" si="52"/>
        <v>2.8146574614976098E-2</v>
      </c>
      <c r="H92" s="257">
        <f t="shared" ref="H92:H93" si="53">AVERAGE(E92:G92)</f>
        <v>2.2863603188996082E-2</v>
      </c>
      <c r="I92" s="206">
        <f t="shared" ref="I92:M92" si="54">H92</f>
        <v>2.2863603188996082E-2</v>
      </c>
      <c r="J92" s="206">
        <f t="shared" si="54"/>
        <v>2.2863603188996082E-2</v>
      </c>
      <c r="K92" s="206">
        <f t="shared" si="54"/>
        <v>2.2863603188996082E-2</v>
      </c>
      <c r="L92" s="206">
        <f t="shared" si="54"/>
        <v>2.2863603188996082E-2</v>
      </c>
      <c r="M92" s="206">
        <f t="shared" si="54"/>
        <v>2.2863603188996082E-2</v>
      </c>
    </row>
    <row r="93" spans="2:13" ht="15.75" customHeight="1" outlineLevel="1" x14ac:dyDescent="0.25">
      <c r="C93" s="299" t="s">
        <v>250</v>
      </c>
      <c r="D93" s="48" t="s">
        <v>25</v>
      </c>
      <c r="E93" s="172">
        <f>E184/E107</f>
        <v>4.3224743313474458E-2</v>
      </c>
      <c r="F93" s="172">
        <f t="shared" ref="F93:G93" si="55">F184/F107</f>
        <v>3.760643330179754E-2</v>
      </c>
      <c r="G93" s="172">
        <f t="shared" si="55"/>
        <v>4.3945831120552309E-2</v>
      </c>
      <c r="H93" s="257">
        <f t="shared" si="53"/>
        <v>4.159233591194144E-2</v>
      </c>
      <c r="I93" s="206">
        <f t="shared" ref="I93:M93" si="56">H93</f>
        <v>4.159233591194144E-2</v>
      </c>
      <c r="J93" s="206">
        <f t="shared" si="56"/>
        <v>4.159233591194144E-2</v>
      </c>
      <c r="K93" s="206">
        <f t="shared" si="56"/>
        <v>4.159233591194144E-2</v>
      </c>
      <c r="L93" s="206">
        <f t="shared" si="56"/>
        <v>4.159233591194144E-2</v>
      </c>
      <c r="M93" s="206">
        <f t="shared" si="56"/>
        <v>4.159233591194144E-2</v>
      </c>
    </row>
    <row r="94" spans="2:13" ht="15.75" customHeight="1" outlineLevel="1" x14ac:dyDescent="0.25"/>
    <row r="95" spans="2:13" ht="15.75" customHeight="1" outlineLevel="1" x14ac:dyDescent="0.25">
      <c r="C95" s="299" t="s">
        <v>251</v>
      </c>
      <c r="D95" s="48" t="s">
        <v>168</v>
      </c>
      <c r="E95" s="121">
        <f>E189</f>
        <v>0</v>
      </c>
      <c r="F95" s="121">
        <f t="shared" ref="F95:G95" si="57">F189</f>
        <v>0</v>
      </c>
      <c r="G95" s="121">
        <f t="shared" si="57"/>
        <v>0</v>
      </c>
      <c r="H95" s="65">
        <v>0</v>
      </c>
      <c r="I95" s="201">
        <f>H95</f>
        <v>0</v>
      </c>
      <c r="J95" s="201">
        <f t="shared" ref="J95:M95" si="58">I95</f>
        <v>0</v>
      </c>
      <c r="K95" s="201">
        <f t="shared" si="58"/>
        <v>0</v>
      </c>
      <c r="L95" s="201">
        <f t="shared" si="58"/>
        <v>0</v>
      </c>
      <c r="M95" s="201">
        <f t="shared" si="58"/>
        <v>0</v>
      </c>
    </row>
    <row r="96" spans="2:13" ht="15.75" customHeight="1" outlineLevel="1" x14ac:dyDescent="0.25">
      <c r="C96" s="299" t="s">
        <v>252</v>
      </c>
      <c r="D96" s="48" t="s">
        <v>168</v>
      </c>
      <c r="E96" s="121">
        <f t="shared" ref="E96:G96" si="59">E190</f>
        <v>0</v>
      </c>
      <c r="F96" s="121">
        <f t="shared" si="59"/>
        <v>0</v>
      </c>
      <c r="G96" s="121">
        <f t="shared" si="59"/>
        <v>0</v>
      </c>
      <c r="H96" s="65">
        <v>0</v>
      </c>
      <c r="I96" s="201">
        <f t="shared" ref="I96:M96" si="60">H96</f>
        <v>0</v>
      </c>
      <c r="J96" s="201">
        <f t="shared" si="60"/>
        <v>0</v>
      </c>
      <c r="K96" s="201">
        <f t="shared" si="60"/>
        <v>0</v>
      </c>
      <c r="L96" s="201">
        <f t="shared" si="60"/>
        <v>0</v>
      </c>
      <c r="M96" s="201">
        <f t="shared" si="60"/>
        <v>0</v>
      </c>
    </row>
    <row r="97" spans="2:26" ht="15.75" customHeight="1" outlineLevel="1" x14ac:dyDescent="0.25"/>
    <row r="98" spans="2:26" ht="15.75" customHeight="1" outlineLevel="1" x14ac:dyDescent="0.25">
      <c r="C98" s="299" t="s">
        <v>254</v>
      </c>
      <c r="D98" s="48" t="s">
        <v>25</v>
      </c>
      <c r="E98" s="172">
        <f>-E133/E113</f>
        <v>6.9829340848598723E-2</v>
      </c>
      <c r="F98" s="172">
        <f t="shared" ref="F98:G98" si="61">-F133/F113</f>
        <v>5.2132701421800945E-2</v>
      </c>
      <c r="G98" s="172">
        <f t="shared" si="61"/>
        <v>6.0402684563758392E-2</v>
      </c>
      <c r="H98" s="257">
        <f t="shared" ref="H98" si="62">AVERAGE(E98:G98)</f>
        <v>6.0788242278052684E-2</v>
      </c>
      <c r="I98" s="206">
        <f t="shared" ref="I98:M98" si="63">H98</f>
        <v>6.0788242278052684E-2</v>
      </c>
      <c r="J98" s="206">
        <f t="shared" si="63"/>
        <v>6.0788242278052684E-2</v>
      </c>
      <c r="K98" s="206">
        <f t="shared" si="63"/>
        <v>6.0788242278052684E-2</v>
      </c>
      <c r="L98" s="206">
        <f t="shared" si="63"/>
        <v>6.0788242278052684E-2</v>
      </c>
      <c r="M98" s="206">
        <f t="shared" si="63"/>
        <v>6.0788242278052684E-2</v>
      </c>
    </row>
    <row r="99" spans="2:26" ht="15.75" customHeight="1" outlineLevel="1" x14ac:dyDescent="0.25">
      <c r="C99" s="299" t="s">
        <v>255</v>
      </c>
      <c r="D99" s="48" t="s">
        <v>168</v>
      </c>
      <c r="E99" s="166"/>
      <c r="F99" s="166"/>
      <c r="G99" s="166"/>
      <c r="H99" s="109">
        <f>-H98*H113</f>
        <v>38.377764544433788</v>
      </c>
      <c r="I99" s="109">
        <f t="shared" ref="I99:M99" si="64">-I98*I113</f>
        <v>43.279451157816233</v>
      </c>
      <c r="J99" s="109">
        <f t="shared" si="64"/>
        <v>45.161074357449941</v>
      </c>
      <c r="K99" s="109">
        <f t="shared" si="64"/>
        <v>48.617695419021771</v>
      </c>
      <c r="L99" s="109">
        <f t="shared" si="64"/>
        <v>51.90125274157603</v>
      </c>
      <c r="M99" s="109">
        <f t="shared" si="64"/>
        <v>55.292990439379899</v>
      </c>
    </row>
    <row r="100" spans="2:26" ht="15.75" customHeight="1" outlineLevel="1" x14ac:dyDescent="0.25"/>
    <row r="101" spans="2:26" ht="15.75" customHeight="1" outlineLevel="1" x14ac:dyDescent="0.25">
      <c r="C101" s="299" t="s">
        <v>256</v>
      </c>
      <c r="D101" s="48" t="s">
        <v>168</v>
      </c>
      <c r="E101" s="121">
        <f>E191</f>
        <v>0</v>
      </c>
      <c r="F101" s="121">
        <f t="shared" ref="F101:G101" si="65">F191</f>
        <v>91.7</v>
      </c>
      <c r="G101" s="121">
        <f t="shared" si="65"/>
        <v>0</v>
      </c>
      <c r="H101" s="480">
        <f>-MIN(G133+H180+H186+H189+H190+H192+H193+H194-H99,0)</f>
        <v>0</v>
      </c>
      <c r="I101" s="480">
        <f t="shared" ref="I101:M101" si="66">-MIN(H133+I180+I186+I189+I190+I192+I193+I194-I99,0)</f>
        <v>0</v>
      </c>
      <c r="J101" s="480">
        <f t="shared" si="66"/>
        <v>0</v>
      </c>
      <c r="K101" s="480">
        <f t="shared" si="66"/>
        <v>0</v>
      </c>
      <c r="L101" s="480">
        <f t="shared" si="66"/>
        <v>0</v>
      </c>
      <c r="M101" s="480">
        <f t="shared" si="66"/>
        <v>0</v>
      </c>
    </row>
    <row r="102" spans="2:26" ht="15.75" customHeight="1" outlineLevel="1" x14ac:dyDescent="0.25">
      <c r="C102" s="299" t="s">
        <v>253</v>
      </c>
      <c r="D102" s="48" t="s">
        <v>168</v>
      </c>
      <c r="E102" s="121">
        <f>E194</f>
        <v>0</v>
      </c>
      <c r="F102" s="121">
        <f t="shared" ref="F102:G102" si="67">F194</f>
        <v>0</v>
      </c>
      <c r="G102" s="121">
        <f t="shared" si="67"/>
        <v>0</v>
      </c>
      <c r="H102" s="65">
        <v>0</v>
      </c>
      <c r="I102" s="201">
        <f>H102</f>
        <v>0</v>
      </c>
      <c r="J102" s="201">
        <f t="shared" ref="J102:M102" si="68">I102</f>
        <v>0</v>
      </c>
      <c r="K102" s="201">
        <f t="shared" si="68"/>
        <v>0</v>
      </c>
      <c r="L102" s="201">
        <f t="shared" si="68"/>
        <v>0</v>
      </c>
      <c r="M102" s="201">
        <f t="shared" si="68"/>
        <v>0</v>
      </c>
    </row>
    <row r="104" spans="2:26" ht="15.75" customHeight="1" x14ac:dyDescent="0.25">
      <c r="B104" s="12"/>
      <c r="C104" s="13"/>
      <c r="D104" s="14"/>
      <c r="E104" s="15" t="str">
        <f>$E$5</f>
        <v>Historical:</v>
      </c>
      <c r="F104" s="16"/>
      <c r="G104" s="16"/>
      <c r="H104" s="17" t="str">
        <f>$H$5</f>
        <v>Projected:</v>
      </c>
      <c r="I104" s="18"/>
      <c r="J104" s="16"/>
      <c r="K104" s="16"/>
      <c r="L104" s="16"/>
      <c r="M104" s="16"/>
    </row>
    <row r="105" spans="2:26" ht="15.75" customHeight="1" x14ac:dyDescent="0.25">
      <c r="B105" s="31" t="s">
        <v>41</v>
      </c>
      <c r="C105" s="19"/>
      <c r="D105" s="35" t="str">
        <f>LBO_4_Hours!$D$5</f>
        <v>Units:</v>
      </c>
      <c r="E105" s="1">
        <f>$E$6</f>
        <v>43190</v>
      </c>
      <c r="F105" s="1">
        <f>$F$6</f>
        <v>43555</v>
      </c>
      <c r="G105" s="2">
        <f>$G$6</f>
        <v>43921</v>
      </c>
      <c r="H105" s="61">
        <f>$H$6</f>
        <v>44286</v>
      </c>
      <c r="I105" s="1">
        <f>$I$6</f>
        <v>44651</v>
      </c>
      <c r="J105" s="1">
        <f>$J$6</f>
        <v>45016</v>
      </c>
      <c r="K105" s="1">
        <f>$K$6</f>
        <v>45382</v>
      </c>
      <c r="L105" s="1">
        <f>$L$6</f>
        <v>45747</v>
      </c>
      <c r="M105" s="1">
        <f>$M$6</f>
        <v>46112</v>
      </c>
      <c r="O105" s="525"/>
      <c r="P105" s="525"/>
      <c r="Q105" s="525"/>
      <c r="R105" s="525"/>
      <c r="S105" s="525"/>
      <c r="T105" s="525"/>
      <c r="U105" s="525"/>
      <c r="V105" s="525"/>
      <c r="W105" s="525"/>
      <c r="X105" s="525"/>
    </row>
    <row r="106" spans="2:26" ht="15.75" customHeight="1" x14ac:dyDescent="0.25">
      <c r="B106" s="37"/>
      <c r="C106" s="38"/>
      <c r="D106" s="522"/>
      <c r="E106" s="40"/>
      <c r="F106" s="40"/>
      <c r="G106" s="40"/>
      <c r="H106" s="40"/>
      <c r="I106" s="40"/>
      <c r="J106" s="40"/>
      <c r="K106" s="40"/>
      <c r="L106" s="40"/>
      <c r="M106" s="40"/>
      <c r="O106" s="525"/>
      <c r="P106" s="525"/>
      <c r="Q106" s="525"/>
      <c r="R106" s="525"/>
      <c r="S106" s="525"/>
      <c r="T106" s="525"/>
      <c r="U106" s="525"/>
      <c r="V106" s="525"/>
      <c r="W106" s="525"/>
      <c r="X106" s="525"/>
      <c r="Y106" s="525"/>
      <c r="Z106" s="525"/>
    </row>
    <row r="107" spans="2:26" ht="15.75" customHeight="1" outlineLevel="1" x14ac:dyDescent="0.25">
      <c r="C107" s="3" t="s">
        <v>123</v>
      </c>
      <c r="D107" s="48" t="s">
        <v>168</v>
      </c>
      <c r="E107" s="263">
        <v>788.9</v>
      </c>
      <c r="F107" s="263">
        <v>845.6</v>
      </c>
      <c r="G107" s="263">
        <v>753.2</v>
      </c>
      <c r="H107" s="276">
        <f>H30*H28</f>
        <v>862.24537313432847</v>
      </c>
      <c r="I107" s="276">
        <f t="shared" ref="I107:M107" si="69">I30*I28</f>
        <v>984.40245186865684</v>
      </c>
      <c r="J107" s="276">
        <f t="shared" si="69"/>
        <v>1035.6008634803584</v>
      </c>
      <c r="K107" s="276">
        <f t="shared" si="69"/>
        <v>1124.7171419211274</v>
      </c>
      <c r="L107" s="276">
        <f t="shared" si="69"/>
        <v>1206.6838544248001</v>
      </c>
      <c r="M107" s="276">
        <f t="shared" si="69"/>
        <v>1291.7477636915796</v>
      </c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  <c r="Y107" s="525"/>
      <c r="Z107" s="525"/>
    </row>
    <row r="108" spans="2:26" ht="15.75" customHeight="1" outlineLevel="1" x14ac:dyDescent="0.25">
      <c r="E108" s="121"/>
      <c r="F108" s="121"/>
      <c r="G108" s="121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</row>
    <row r="109" spans="2:26" ht="15.75" customHeight="1" outlineLevel="1" x14ac:dyDescent="0.25">
      <c r="C109" s="3" t="s">
        <v>244</v>
      </c>
      <c r="E109" s="202"/>
      <c r="F109" s="202"/>
      <c r="G109" s="202"/>
      <c r="H109" s="202"/>
      <c r="I109" s="202"/>
      <c r="J109" s="202"/>
      <c r="K109" s="202"/>
      <c r="L109" s="202"/>
      <c r="M109" s="202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</row>
    <row r="110" spans="2:26" ht="15.75" customHeight="1" outlineLevel="1" x14ac:dyDescent="0.25">
      <c r="C110" s="264" t="s">
        <v>170</v>
      </c>
      <c r="D110" s="48" t="s">
        <v>168</v>
      </c>
      <c r="E110" s="21">
        <v>-137.30000000000001</v>
      </c>
      <c r="F110" s="21">
        <v>-139.5</v>
      </c>
      <c r="G110" s="21">
        <v>-125.5</v>
      </c>
      <c r="H110" s="121">
        <f t="shared" ref="H110:M110" si="70">-H40*H39/Units</f>
        <v>-150.60860610859569</v>
      </c>
      <c r="I110" s="121">
        <f t="shared" si="70"/>
        <v>-170.29248722804698</v>
      </c>
      <c r="J110" s="121">
        <f t="shared" si="70"/>
        <v>-179.14933722769052</v>
      </c>
      <c r="K110" s="121">
        <f t="shared" si="70"/>
        <v>-192.67663958326264</v>
      </c>
      <c r="L110" s="121">
        <f t="shared" si="70"/>
        <v>-206.7184551956031</v>
      </c>
      <c r="M110" s="121">
        <f t="shared" si="70"/>
        <v>-221.2908552919892</v>
      </c>
      <c r="O110" s="525"/>
      <c r="P110" s="525"/>
      <c r="Q110" s="525"/>
      <c r="R110" s="525"/>
      <c r="S110" s="525"/>
      <c r="T110" s="525"/>
      <c r="U110" s="525"/>
      <c r="V110" s="525"/>
      <c r="W110" s="525"/>
      <c r="X110" s="525"/>
      <c r="Y110" s="525"/>
      <c r="Z110" s="525"/>
    </row>
    <row r="111" spans="2:26" ht="15.75" customHeight="1" outlineLevel="1" x14ac:dyDescent="0.25">
      <c r="C111" s="264" t="s">
        <v>171</v>
      </c>
      <c r="D111" s="48" t="s">
        <v>168</v>
      </c>
      <c r="E111" s="21">
        <v>-108.7</v>
      </c>
      <c r="F111" s="21">
        <v>-94.3</v>
      </c>
      <c r="G111" s="21">
        <v>-87.2</v>
      </c>
      <c r="H111" s="121">
        <f>-H28*H45</f>
        <v>-93.105522388059697</v>
      </c>
      <c r="I111" s="121">
        <f t="shared" ref="I111:M111" si="71">-I28*I45</f>
        <v>-99.141537623880595</v>
      </c>
      <c r="J111" s="121">
        <f t="shared" si="71"/>
        <v>-98.222249675582077</v>
      </c>
      <c r="K111" s="121">
        <f t="shared" si="71"/>
        <v>-101.49616628648835</v>
      </c>
      <c r="L111" s="121">
        <f t="shared" si="71"/>
        <v>-104.62265330807624</v>
      </c>
      <c r="M111" s="121">
        <f t="shared" si="71"/>
        <v>-107.60584203777441</v>
      </c>
      <c r="O111" s="525"/>
      <c r="P111" s="525"/>
      <c r="Q111" s="525"/>
      <c r="R111" s="525"/>
      <c r="S111" s="525"/>
      <c r="T111" s="525"/>
      <c r="U111" s="525"/>
      <c r="V111" s="525"/>
      <c r="W111" s="525"/>
      <c r="X111" s="525"/>
      <c r="Y111" s="525"/>
      <c r="Z111" s="525"/>
    </row>
    <row r="112" spans="2:26" ht="15.75" customHeight="1" outlineLevel="1" x14ac:dyDescent="0.25">
      <c r="C112" s="264" t="s">
        <v>172</v>
      </c>
      <c r="D112" s="48" t="s">
        <v>168</v>
      </c>
      <c r="E112" s="21">
        <v>-392.69999999999993</v>
      </c>
      <c r="F112" s="21">
        <v>-462.5</v>
      </c>
      <c r="G112" s="21">
        <v>-338.6</v>
      </c>
      <c r="H112" s="121">
        <f>-H48*H28</f>
        <v>-387.62119402985076</v>
      </c>
      <c r="I112" s="121">
        <f t="shared" ref="I112:M112" si="72">-I48*I28</f>
        <v>-442.53673685970153</v>
      </c>
      <c r="J112" s="121">
        <f t="shared" si="72"/>
        <v>-465.55291074674636</v>
      </c>
      <c r="K112" s="121">
        <f t="shared" si="72"/>
        <v>-505.61500830389508</v>
      </c>
      <c r="L112" s="121">
        <f t="shared" si="72"/>
        <v>-542.46302855581155</v>
      </c>
      <c r="M112" s="121">
        <f t="shared" si="72"/>
        <v>-580.70338925380884</v>
      </c>
      <c r="O112" s="525"/>
      <c r="P112" s="525"/>
      <c r="Q112" s="525"/>
      <c r="R112" s="525"/>
      <c r="S112" s="525"/>
      <c r="T112" s="525"/>
      <c r="U112" s="525"/>
      <c r="V112" s="525"/>
      <c r="W112" s="525"/>
      <c r="X112" s="525"/>
      <c r="Y112" s="525"/>
      <c r="Z112" s="525"/>
    </row>
    <row r="113" spans="3:26" ht="15.75" customHeight="1" outlineLevel="1" x14ac:dyDescent="0.25">
      <c r="C113" s="68" t="s">
        <v>173</v>
      </c>
      <c r="D113" s="106" t="s">
        <v>168</v>
      </c>
      <c r="E113" s="73">
        <f>SUM(E110:E112)</f>
        <v>-638.69999999999993</v>
      </c>
      <c r="F113" s="73">
        <f>SUM(F110:F112)</f>
        <v>-696.3</v>
      </c>
      <c r="G113" s="73">
        <f>SUM(G110:G112)</f>
        <v>-551.29999999999995</v>
      </c>
      <c r="H113" s="33">
        <f>SUM(H110:H112)</f>
        <v>-631.33532252650616</v>
      </c>
      <c r="I113" s="33">
        <f t="shared" ref="I113:M113" si="73">SUM(I110:I112)</f>
        <v>-711.97076171162917</v>
      </c>
      <c r="J113" s="33">
        <f t="shared" si="73"/>
        <v>-742.92449765001902</v>
      </c>
      <c r="K113" s="33">
        <f t="shared" si="73"/>
        <v>-799.78781417364598</v>
      </c>
      <c r="L113" s="33">
        <f t="shared" si="73"/>
        <v>-853.80413705949081</v>
      </c>
      <c r="M113" s="33">
        <f t="shared" si="73"/>
        <v>-909.60008658357242</v>
      </c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525"/>
    </row>
    <row r="114" spans="3:26" ht="15.75" customHeight="1" outlineLevel="1" x14ac:dyDescent="0.25">
      <c r="C114" s="264"/>
      <c r="D114" s="48"/>
      <c r="E114" s="294"/>
      <c r="F114" s="294"/>
      <c r="G114" s="294"/>
      <c r="H114" s="294"/>
      <c r="I114" s="294"/>
      <c r="J114" s="294"/>
      <c r="K114" s="294"/>
      <c r="L114" s="294"/>
      <c r="M114" s="294"/>
      <c r="O114" s="525"/>
      <c r="P114" s="525"/>
      <c r="Q114" s="525"/>
      <c r="R114" s="525"/>
      <c r="S114" s="525"/>
      <c r="T114" s="525"/>
      <c r="U114" s="525"/>
      <c r="V114" s="525"/>
      <c r="W114" s="525"/>
      <c r="X114" s="525"/>
      <c r="Y114" s="525"/>
      <c r="Z114" s="525"/>
    </row>
    <row r="115" spans="3:26" ht="15.75" customHeight="1" outlineLevel="1" x14ac:dyDescent="0.25">
      <c r="C115" s="67" t="s">
        <v>174</v>
      </c>
      <c r="D115" s="48" t="s">
        <v>168</v>
      </c>
      <c r="E115" s="112">
        <f>E107+E113</f>
        <v>150.20000000000005</v>
      </c>
      <c r="F115" s="112">
        <f>F107+F113</f>
        <v>149.30000000000007</v>
      </c>
      <c r="G115" s="112">
        <f>G107+G113</f>
        <v>201.90000000000009</v>
      </c>
      <c r="H115" s="112">
        <f>H107+H113</f>
        <v>230.91005060782231</v>
      </c>
      <c r="I115" s="112">
        <f t="shared" ref="I115:M115" si="74">I107+I113</f>
        <v>272.43169015702767</v>
      </c>
      <c r="J115" s="112">
        <f t="shared" si="74"/>
        <v>292.67636583033936</v>
      </c>
      <c r="K115" s="112">
        <f t="shared" si="74"/>
        <v>324.92932774748147</v>
      </c>
      <c r="L115" s="112">
        <f t="shared" si="74"/>
        <v>352.87971736530926</v>
      </c>
      <c r="M115" s="112">
        <f t="shared" si="74"/>
        <v>382.1476771080072</v>
      </c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</row>
    <row r="116" spans="3:26" ht="15.75" customHeight="1" outlineLevel="1" x14ac:dyDescent="0.25">
      <c r="C116" s="119" t="s">
        <v>126</v>
      </c>
      <c r="D116" s="48" t="s">
        <v>168</v>
      </c>
      <c r="E116" s="21">
        <v>-52.39912328767123</v>
      </c>
      <c r="F116" s="21">
        <v>-48.579399141630901</v>
      </c>
      <c r="G116" s="21">
        <v>-47.899328859060404</v>
      </c>
      <c r="H116" s="121">
        <f>-H68-H57*H13</f>
        <v>-50.083333333333336</v>
      </c>
      <c r="I116" s="121">
        <f t="shared" ref="I116:M116" si="75">-I68-I57*I13</f>
        <v>-53.5</v>
      </c>
      <c r="J116" s="121">
        <f t="shared" si="75"/>
        <v>-58.25</v>
      </c>
      <c r="K116" s="121">
        <f t="shared" si="75"/>
        <v>-66.400000000000006</v>
      </c>
      <c r="L116" s="121">
        <f t="shared" si="75"/>
        <v>-69.866666666666674</v>
      </c>
      <c r="M116" s="121">
        <f t="shared" si="75"/>
        <v>-72</v>
      </c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</row>
    <row r="117" spans="3:26" ht="15.75" customHeight="1" outlineLevel="1" x14ac:dyDescent="0.25">
      <c r="C117" s="264" t="s">
        <v>177</v>
      </c>
      <c r="D117" s="48" t="s">
        <v>168</v>
      </c>
      <c r="E117" s="21">
        <v>-3</v>
      </c>
      <c r="F117" s="21">
        <v>-4.5</v>
      </c>
      <c r="G117" s="21">
        <v>-4.0999999999999996</v>
      </c>
      <c r="H117" s="121">
        <f>-H51</f>
        <v>-4.0999999999999996</v>
      </c>
      <c r="I117" s="121">
        <f t="shared" ref="I117:M117" si="76">-I51</f>
        <v>-4.0999999999999996</v>
      </c>
      <c r="J117" s="121">
        <f t="shared" si="76"/>
        <v>-4.0999999999999996</v>
      </c>
      <c r="K117" s="121">
        <f t="shared" si="76"/>
        <v>-4.0999999999999996</v>
      </c>
      <c r="L117" s="121">
        <f t="shared" si="76"/>
        <v>-4.0999999999999996</v>
      </c>
      <c r="M117" s="121">
        <f t="shared" si="76"/>
        <v>-4.0999999999999996</v>
      </c>
      <c r="O117" s="525"/>
      <c r="P117" s="525"/>
      <c r="Q117" s="525"/>
      <c r="R117" s="525"/>
      <c r="S117" s="525"/>
      <c r="T117" s="525"/>
      <c r="U117" s="525"/>
      <c r="V117" s="525"/>
      <c r="W117" s="525"/>
      <c r="X117" s="525"/>
      <c r="Y117" s="525"/>
      <c r="Z117" s="525"/>
    </row>
    <row r="118" spans="3:26" ht="15.75" customHeight="1" outlineLevel="1" x14ac:dyDescent="0.25">
      <c r="C118" s="264" t="s">
        <v>176</v>
      </c>
      <c r="D118" s="48" t="s">
        <v>168</v>
      </c>
      <c r="E118" s="21">
        <v>-16.200876712328768</v>
      </c>
      <c r="F118" s="21">
        <v>-24.920600858369099</v>
      </c>
      <c r="G118" s="21">
        <v>-30.100671140939596</v>
      </c>
      <c r="H118" s="121">
        <f>-H70*H$13</f>
        <v>-22.750000000000004</v>
      </c>
      <c r="I118" s="121">
        <f t="shared" ref="I118:M118" si="77">-I70*I$13</f>
        <v>-23.1</v>
      </c>
      <c r="J118" s="121">
        <f t="shared" si="77"/>
        <v>-23.450000000000003</v>
      </c>
      <c r="K118" s="121">
        <f t="shared" si="77"/>
        <v>-27.2</v>
      </c>
      <c r="L118" s="121">
        <f t="shared" si="77"/>
        <v>-27.6</v>
      </c>
      <c r="M118" s="121">
        <f t="shared" si="77"/>
        <v>-28</v>
      </c>
      <c r="O118" s="525"/>
      <c r="P118" s="525"/>
      <c r="Q118" s="525"/>
      <c r="R118" s="525"/>
      <c r="S118" s="525"/>
      <c r="T118" s="525"/>
      <c r="U118" s="525"/>
      <c r="V118" s="525"/>
      <c r="W118" s="525"/>
      <c r="X118" s="525"/>
      <c r="Y118" s="525"/>
      <c r="Z118" s="525"/>
    </row>
    <row r="119" spans="3:26" ht="15.75" customHeight="1" outlineLevel="1" x14ac:dyDescent="0.25">
      <c r="C119" s="119" t="s">
        <v>125</v>
      </c>
      <c r="D119" s="48" t="s">
        <v>168</v>
      </c>
      <c r="E119" s="21">
        <v>-16.3</v>
      </c>
      <c r="F119" s="21">
        <v>-27.629268292682926</v>
      </c>
      <c r="G119" s="21">
        <v>-27.828571428571433</v>
      </c>
      <c r="H119" s="121">
        <f>-H71*H$13</f>
        <v>-22.750000000000004</v>
      </c>
      <c r="I119" s="121">
        <f t="shared" ref="I119:M119" si="78">-I71*I$13</f>
        <v>-23.1</v>
      </c>
      <c r="J119" s="121">
        <f t="shared" si="78"/>
        <v>-23.450000000000003</v>
      </c>
      <c r="K119" s="121">
        <f t="shared" si="78"/>
        <v>-27.2</v>
      </c>
      <c r="L119" s="121">
        <f t="shared" si="78"/>
        <v>-27.6</v>
      </c>
      <c r="M119" s="121">
        <f t="shared" si="78"/>
        <v>-28</v>
      </c>
      <c r="O119" s="525"/>
      <c r="P119" s="525"/>
      <c r="Q119" s="525"/>
      <c r="R119" s="525"/>
      <c r="S119" s="525"/>
      <c r="T119" s="525"/>
      <c r="U119" s="525"/>
      <c r="V119" s="525"/>
      <c r="W119" s="525"/>
      <c r="X119" s="525"/>
      <c r="Y119" s="525"/>
      <c r="Z119" s="525"/>
    </row>
    <row r="120" spans="3:26" ht="15.75" customHeight="1" outlineLevel="1" x14ac:dyDescent="0.25">
      <c r="C120" s="258" t="s">
        <v>140</v>
      </c>
      <c r="D120" s="48" t="s">
        <v>168</v>
      </c>
      <c r="E120" s="82">
        <v>-14.8</v>
      </c>
      <c r="F120" s="82">
        <v>-17.170731707317071</v>
      </c>
      <c r="G120" s="82">
        <v>-20.87142857142857</v>
      </c>
      <c r="H120" s="166">
        <f>H78</f>
        <v>0</v>
      </c>
      <c r="I120" s="166">
        <f t="shared" ref="I120:M120" si="79">I78</f>
        <v>0</v>
      </c>
      <c r="J120" s="166">
        <f t="shared" si="79"/>
        <v>0</v>
      </c>
      <c r="K120" s="166">
        <f t="shared" si="79"/>
        <v>0</v>
      </c>
      <c r="L120" s="166">
        <f t="shared" si="79"/>
        <v>0</v>
      </c>
      <c r="M120" s="166">
        <f t="shared" si="79"/>
        <v>0</v>
      </c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525"/>
    </row>
    <row r="121" spans="3:26" ht="15.75" customHeight="1" outlineLevel="1" x14ac:dyDescent="0.25">
      <c r="C121" s="264" t="s">
        <v>175</v>
      </c>
      <c r="D121" s="48" t="s">
        <v>168</v>
      </c>
      <c r="E121" s="21">
        <v>21.8</v>
      </c>
      <c r="F121" s="21">
        <v>20</v>
      </c>
      <c r="G121" s="21">
        <v>22.5</v>
      </c>
      <c r="H121" s="121">
        <f>H79</f>
        <v>0</v>
      </c>
      <c r="I121" s="121">
        <f t="shared" ref="I121:M121" si="80">I79</f>
        <v>0</v>
      </c>
      <c r="J121" s="121">
        <f t="shared" si="80"/>
        <v>0</v>
      </c>
      <c r="K121" s="121">
        <f t="shared" si="80"/>
        <v>0</v>
      </c>
      <c r="L121" s="121">
        <f t="shared" si="80"/>
        <v>0</v>
      </c>
      <c r="M121" s="121">
        <f t="shared" si="80"/>
        <v>0</v>
      </c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  <c r="Y121" s="525"/>
      <c r="Z121" s="525"/>
    </row>
    <row r="122" spans="3:26" ht="15.75" customHeight="1" outlineLevel="1" x14ac:dyDescent="0.25">
      <c r="C122" s="169" t="s">
        <v>71</v>
      </c>
      <c r="D122" s="48" t="s">
        <v>168</v>
      </c>
      <c r="E122" s="82">
        <v>0</v>
      </c>
      <c r="F122" s="82">
        <v>0</v>
      </c>
      <c r="G122" s="82">
        <v>0</v>
      </c>
      <c r="H122" s="82">
        <f t="shared" ref="H122:M122" si="81">H80</f>
        <v>0</v>
      </c>
      <c r="I122" s="82">
        <f t="shared" si="81"/>
        <v>0</v>
      </c>
      <c r="J122" s="82">
        <f t="shared" si="81"/>
        <v>0</v>
      </c>
      <c r="K122" s="82">
        <f t="shared" si="81"/>
        <v>0</v>
      </c>
      <c r="L122" s="82">
        <f t="shared" si="81"/>
        <v>0</v>
      </c>
      <c r="M122" s="82">
        <f t="shared" si="81"/>
        <v>0</v>
      </c>
      <c r="O122" s="525"/>
      <c r="P122" s="525"/>
      <c r="Q122" s="525"/>
      <c r="R122" s="525"/>
      <c r="S122" s="525"/>
      <c r="T122" s="525"/>
      <c r="U122" s="525"/>
      <c r="V122" s="525"/>
      <c r="W122" s="525"/>
      <c r="X122" s="525"/>
      <c r="Y122" s="525"/>
      <c r="Z122" s="525"/>
    </row>
    <row r="123" spans="3:26" ht="15.75" customHeight="1" outlineLevel="1" x14ac:dyDescent="0.25">
      <c r="C123" s="32" t="s">
        <v>42</v>
      </c>
      <c r="D123" s="106" t="s">
        <v>168</v>
      </c>
      <c r="E123" s="33">
        <f>SUM(E115:E122)</f>
        <v>69.300000000000054</v>
      </c>
      <c r="F123" s="33">
        <f>SUM(F115:F122)</f>
        <v>46.500000000000071</v>
      </c>
      <c r="G123" s="33">
        <f>SUM(G115:G122)</f>
        <v>93.600000000000094</v>
      </c>
      <c r="H123" s="33">
        <f>SUM(H115:H122)</f>
        <v>131.22671727448898</v>
      </c>
      <c r="I123" s="33">
        <f t="shared" ref="I123:M123" si="82">SUM(I115:I122)</f>
        <v>168.63169015702769</v>
      </c>
      <c r="J123" s="33">
        <f t="shared" si="82"/>
        <v>183.42636583033936</v>
      </c>
      <c r="K123" s="33">
        <f t="shared" si="82"/>
        <v>200.02932774748152</v>
      </c>
      <c r="L123" s="33">
        <f t="shared" si="82"/>
        <v>223.71305069864258</v>
      </c>
      <c r="M123" s="33">
        <f t="shared" si="82"/>
        <v>250.04767710800718</v>
      </c>
      <c r="O123" s="525"/>
      <c r="P123" s="525"/>
      <c r="Q123" s="525"/>
      <c r="R123" s="525"/>
      <c r="S123" s="525"/>
      <c r="T123" s="525"/>
      <c r="U123" s="525"/>
      <c r="V123" s="525"/>
      <c r="W123" s="525"/>
      <c r="X123" s="525"/>
      <c r="Y123" s="525"/>
      <c r="Z123" s="525"/>
    </row>
    <row r="124" spans="3:26" ht="15.75" customHeight="1" outlineLevel="1" x14ac:dyDescent="0.25">
      <c r="C124" s="224" t="s">
        <v>153</v>
      </c>
      <c r="D124" s="45" t="s">
        <v>168</v>
      </c>
      <c r="E124" s="21">
        <v>-37.4</v>
      </c>
      <c r="F124" s="21">
        <v>-4.9000000000000004</v>
      </c>
      <c r="G124" s="21">
        <v>-24.6</v>
      </c>
      <c r="H124" s="121">
        <f>-H123*H53</f>
        <v>-24.933076282152907</v>
      </c>
      <c r="I124" s="121">
        <f t="shared" ref="I124:M124" si="83">-I123*I53</f>
        <v>-32.04002112983526</v>
      </c>
      <c r="J124" s="121">
        <f t="shared" si="83"/>
        <v>-34.851009507764481</v>
      </c>
      <c r="K124" s="121">
        <f t="shared" si="83"/>
        <v>-50.007331936870379</v>
      </c>
      <c r="L124" s="121">
        <f t="shared" si="83"/>
        <v>-55.928262674660644</v>
      </c>
      <c r="M124" s="121">
        <f t="shared" si="83"/>
        <v>-62.511919277001795</v>
      </c>
      <c r="O124" s="525"/>
      <c r="P124" s="525"/>
      <c r="Q124" s="525"/>
      <c r="R124" s="525"/>
      <c r="S124" s="525"/>
      <c r="T124" s="525"/>
      <c r="U124" s="525"/>
      <c r="V124" s="525"/>
      <c r="W124" s="525"/>
      <c r="X124" s="525"/>
      <c r="Y124" s="525"/>
      <c r="Z124" s="525"/>
    </row>
    <row r="125" spans="3:26" ht="15.75" customHeight="1" outlineLevel="1" x14ac:dyDescent="0.25">
      <c r="C125" s="32" t="s">
        <v>18</v>
      </c>
      <c r="D125" s="106" t="s">
        <v>168</v>
      </c>
      <c r="E125" s="33">
        <f>SUM(E123:E124)</f>
        <v>31.900000000000055</v>
      </c>
      <c r="F125" s="33">
        <f>SUM(F123:F124)</f>
        <v>41.600000000000072</v>
      </c>
      <c r="G125" s="33">
        <f t="shared" ref="G125" si="84">SUM(G123:G124)</f>
        <v>69.000000000000085</v>
      </c>
      <c r="H125" s="33">
        <f>SUM(H123:H124)</f>
        <v>106.29364099233607</v>
      </c>
      <c r="I125" s="33">
        <f t="shared" ref="I125:M125" si="85">SUM(I123:I124)</f>
        <v>136.59166902719244</v>
      </c>
      <c r="J125" s="33">
        <f t="shared" si="85"/>
        <v>148.57535632257489</v>
      </c>
      <c r="K125" s="33">
        <f t="shared" si="85"/>
        <v>150.02199581061114</v>
      </c>
      <c r="L125" s="33">
        <f t="shared" si="85"/>
        <v>167.78478802398195</v>
      </c>
      <c r="M125" s="33">
        <f t="shared" si="85"/>
        <v>187.53575783100538</v>
      </c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</row>
    <row r="126" spans="3:26" ht="15.75" customHeight="1" outlineLevel="1" x14ac:dyDescent="0.25">
      <c r="C126" s="264" t="s">
        <v>186</v>
      </c>
      <c r="D126" s="45" t="s">
        <v>168</v>
      </c>
      <c r="E126" s="72">
        <v>8</v>
      </c>
      <c r="F126" s="72">
        <v>12.4</v>
      </c>
      <c r="G126" s="72">
        <v>14.8</v>
      </c>
      <c r="H126" s="154">
        <f>G143*H54</f>
        <v>15.025</v>
      </c>
      <c r="I126" s="154">
        <f t="shared" ref="I126:M126" si="86">H143*I54</f>
        <v>15.791293830372712</v>
      </c>
      <c r="J126" s="154">
        <f t="shared" si="86"/>
        <v>16.156265768448275</v>
      </c>
      <c r="K126" s="154">
        <f t="shared" si="86"/>
        <v>16.034211953428262</v>
      </c>
      <c r="L126" s="154">
        <f t="shared" si="86"/>
        <v>15.357734312565544</v>
      </c>
      <c r="M126" s="154">
        <f t="shared" si="86"/>
        <v>16.903759064949437</v>
      </c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  <c r="Y126" s="525"/>
      <c r="Z126" s="525"/>
    </row>
    <row r="127" spans="3:26" ht="15.75" customHeight="1" outlineLevel="1" x14ac:dyDescent="0.25">
      <c r="C127" s="68" t="s">
        <v>127</v>
      </c>
      <c r="D127" s="48" t="s">
        <v>168</v>
      </c>
      <c r="E127" s="265">
        <f>SUM(E125:E126)</f>
        <v>39.900000000000055</v>
      </c>
      <c r="F127" s="265">
        <f>SUM(F125:F126)</f>
        <v>54.000000000000071</v>
      </c>
      <c r="G127" s="265">
        <f>SUM(G125:G126)</f>
        <v>83.800000000000082</v>
      </c>
      <c r="H127" s="265">
        <f>SUM(H125:H126)</f>
        <v>121.31864099233607</v>
      </c>
      <c r="I127" s="265">
        <f t="shared" ref="I127:M127" si="87">SUM(I125:I126)</f>
        <v>152.38296285756516</v>
      </c>
      <c r="J127" s="265">
        <f t="shared" si="87"/>
        <v>164.73162209102316</v>
      </c>
      <c r="K127" s="265">
        <f t="shared" si="87"/>
        <v>166.05620776403941</v>
      </c>
      <c r="L127" s="265">
        <f t="shared" si="87"/>
        <v>183.1425223365475</v>
      </c>
      <c r="M127" s="265">
        <f t="shared" si="87"/>
        <v>204.43951689595482</v>
      </c>
      <c r="O127" s="525"/>
      <c r="P127" s="525"/>
      <c r="Q127" s="525"/>
      <c r="R127" s="525"/>
      <c r="S127" s="525"/>
      <c r="T127" s="525"/>
      <c r="U127" s="525"/>
      <c r="V127" s="525"/>
      <c r="W127" s="525"/>
      <c r="X127" s="525"/>
      <c r="Y127" s="525"/>
      <c r="Z127" s="525"/>
    </row>
    <row r="128" spans="3:26" ht="15.75" customHeight="1" x14ac:dyDescent="0.25">
      <c r="C128" s="20"/>
      <c r="D128" s="202"/>
      <c r="E128" s="202"/>
      <c r="F128" s="202"/>
      <c r="G128" s="202"/>
      <c r="H128" s="121"/>
      <c r="I128" s="121"/>
      <c r="J128" s="121"/>
      <c r="K128" s="121"/>
      <c r="L128" s="121"/>
      <c r="M128" s="121"/>
      <c r="O128" s="525"/>
      <c r="P128" s="525"/>
      <c r="Q128" s="525"/>
      <c r="R128" s="525"/>
      <c r="S128" s="525"/>
      <c r="T128" s="525"/>
      <c r="U128" s="525"/>
      <c r="V128" s="525"/>
      <c r="W128" s="525"/>
      <c r="X128" s="525"/>
      <c r="Y128" s="525"/>
      <c r="Z128" s="525"/>
    </row>
    <row r="129" spans="2:26" ht="15.75" customHeight="1" x14ac:dyDescent="0.25">
      <c r="B129" s="12"/>
      <c r="C129" s="13"/>
      <c r="D129" s="14"/>
      <c r="E129" s="15" t="str">
        <f>$E$5</f>
        <v>Historical:</v>
      </c>
      <c r="F129" s="16"/>
      <c r="G129" s="16"/>
      <c r="H129" s="17" t="str">
        <f>$H$5</f>
        <v>Projected:</v>
      </c>
      <c r="I129" s="18"/>
      <c r="J129" s="16"/>
      <c r="K129" s="16"/>
      <c r="L129" s="16"/>
      <c r="M129" s="16"/>
      <c r="O129" s="525"/>
      <c r="P129" s="525"/>
      <c r="Q129" s="525"/>
      <c r="R129" s="525"/>
      <c r="S129" s="525"/>
      <c r="T129" s="525"/>
      <c r="U129" s="525"/>
      <c r="V129" s="525"/>
      <c r="W129" s="525"/>
      <c r="X129" s="525"/>
      <c r="Y129" s="525"/>
      <c r="Z129" s="525"/>
    </row>
    <row r="130" spans="2:26" ht="15.75" customHeight="1" x14ac:dyDescent="0.25">
      <c r="B130" s="31" t="s">
        <v>43</v>
      </c>
      <c r="C130" s="19"/>
      <c r="D130" s="35" t="str">
        <f>LBO_4_Hours!$D$5</f>
        <v>Units:</v>
      </c>
      <c r="E130" s="1">
        <f>$E$6</f>
        <v>43190</v>
      </c>
      <c r="F130" s="1">
        <f>$F$6</f>
        <v>43555</v>
      </c>
      <c r="G130" s="2">
        <f>$G$6</f>
        <v>43921</v>
      </c>
      <c r="H130" s="61">
        <f>$H$6</f>
        <v>44286</v>
      </c>
      <c r="I130" s="1">
        <f>$I$6</f>
        <v>44651</v>
      </c>
      <c r="J130" s="1">
        <f>$J$6</f>
        <v>45016</v>
      </c>
      <c r="K130" s="1">
        <f>$K$6</f>
        <v>45382</v>
      </c>
      <c r="L130" s="1">
        <f>$L$6</f>
        <v>45747</v>
      </c>
      <c r="M130" s="1">
        <f>$M$6</f>
        <v>46112</v>
      </c>
      <c r="O130" s="525"/>
      <c r="P130" s="525"/>
      <c r="Q130" s="525"/>
      <c r="R130" s="525"/>
      <c r="S130" s="525"/>
      <c r="T130" s="525"/>
      <c r="U130" s="525"/>
      <c r="V130" s="525"/>
      <c r="W130" s="525"/>
      <c r="X130" s="525"/>
      <c r="Y130" s="525"/>
      <c r="Z130" s="525"/>
    </row>
    <row r="131" spans="2:26" ht="15.75" customHeight="1" outlineLevel="1" x14ac:dyDescent="0.25">
      <c r="B131" s="64" t="s">
        <v>53</v>
      </c>
      <c r="C131" s="70"/>
      <c r="D131" s="146"/>
      <c r="E131" s="163"/>
      <c r="F131" s="163"/>
      <c r="G131" s="163"/>
      <c r="H131" s="163"/>
      <c r="I131" s="163"/>
      <c r="J131" s="163"/>
      <c r="K131" s="163"/>
      <c r="L131" s="163"/>
      <c r="M131" s="163"/>
      <c r="O131" s="525"/>
      <c r="P131" s="525"/>
      <c r="Q131" s="525"/>
      <c r="R131" s="525"/>
      <c r="S131" s="525"/>
      <c r="T131" s="525"/>
      <c r="U131" s="525"/>
      <c r="V131" s="525"/>
      <c r="W131" s="525"/>
      <c r="X131" s="525"/>
      <c r="Y131" s="525"/>
      <c r="Z131" s="525"/>
    </row>
    <row r="132" spans="2:26" ht="15.75" customHeight="1" outlineLevel="1" x14ac:dyDescent="0.25">
      <c r="B132" s="22"/>
      <c r="C132" s="71" t="s">
        <v>60</v>
      </c>
      <c r="D132" s="115"/>
      <c r="E132" s="166"/>
      <c r="F132" s="166"/>
      <c r="G132" s="166"/>
      <c r="H132" s="166"/>
      <c r="I132" s="166"/>
      <c r="J132" s="166"/>
      <c r="K132" s="166"/>
      <c r="L132" s="166"/>
      <c r="M132" s="166"/>
      <c r="O132" s="525"/>
      <c r="P132" s="525"/>
      <c r="Q132" s="525"/>
      <c r="R132" s="525"/>
      <c r="S132" s="525"/>
      <c r="T132" s="525"/>
      <c r="U132" s="525"/>
      <c r="V132" s="525"/>
      <c r="W132" s="525"/>
      <c r="X132" s="525"/>
      <c r="Y132" s="525"/>
      <c r="Z132" s="525"/>
    </row>
    <row r="133" spans="2:26" ht="15.75" customHeight="1" outlineLevel="1" x14ac:dyDescent="0.25">
      <c r="C133" s="169" t="s">
        <v>44</v>
      </c>
      <c r="D133" s="113" t="s">
        <v>168</v>
      </c>
      <c r="E133" s="262">
        <v>44.6</v>
      </c>
      <c r="F133" s="262">
        <v>36.299999999999997</v>
      </c>
      <c r="G133" s="262">
        <v>33.299999999999997</v>
      </c>
      <c r="H133" s="271">
        <f>G133+H197</f>
        <v>154.01744629584243</v>
      </c>
      <c r="I133" s="271">
        <f t="shared" ref="I133:M133" si="88">H133+I197</f>
        <v>258.346263234611</v>
      </c>
      <c r="J133" s="271">
        <f t="shared" si="88"/>
        <v>362.30153192821911</v>
      </c>
      <c r="K133" s="271">
        <f t="shared" si="88"/>
        <v>467.66556737549473</v>
      </c>
      <c r="L133" s="271">
        <f t="shared" si="88"/>
        <v>634.62723925937257</v>
      </c>
      <c r="M133" s="271">
        <f t="shared" si="88"/>
        <v>860.98309871796266</v>
      </c>
      <c r="O133" s="525"/>
      <c r="P133" s="525"/>
      <c r="Q133" s="525"/>
      <c r="R133" s="525"/>
      <c r="S133" s="525"/>
      <c r="T133" s="525"/>
      <c r="U133" s="525"/>
      <c r="V133" s="525"/>
      <c r="W133" s="525"/>
      <c r="X133" s="525"/>
      <c r="Y133" s="525"/>
      <c r="Z133" s="525"/>
    </row>
    <row r="134" spans="2:26" ht="15.75" customHeight="1" outlineLevel="1" x14ac:dyDescent="0.25">
      <c r="C134" s="119" t="s">
        <v>45</v>
      </c>
      <c r="D134" s="48" t="s">
        <v>168</v>
      </c>
      <c r="E134" s="21">
        <v>105.3</v>
      </c>
      <c r="F134" s="21">
        <v>131.1</v>
      </c>
      <c r="G134" s="21">
        <v>277.89999999999998</v>
      </c>
      <c r="H134" s="121">
        <f>H107*H83</f>
        <v>319.03078805970154</v>
      </c>
      <c r="I134" s="121">
        <f t="shared" ref="I134:M134" si="89">I107*I83</f>
        <v>369.1509194507463</v>
      </c>
      <c r="J134" s="121">
        <f t="shared" si="89"/>
        <v>393.52832812253621</v>
      </c>
      <c r="K134" s="121">
        <f t="shared" si="89"/>
        <v>433.01609963963409</v>
      </c>
      <c r="L134" s="121">
        <f t="shared" si="89"/>
        <v>470.60670322567205</v>
      </c>
      <c r="M134" s="121">
        <f t="shared" si="89"/>
        <v>510.24036665817397</v>
      </c>
      <c r="O134" s="525"/>
      <c r="P134" s="525"/>
      <c r="Q134" s="525"/>
      <c r="R134" s="525"/>
      <c r="S134" s="525"/>
      <c r="T134" s="525"/>
      <c r="U134" s="525"/>
      <c r="V134" s="525"/>
      <c r="W134" s="525"/>
      <c r="X134" s="525"/>
      <c r="Y134" s="525"/>
      <c r="Z134" s="525"/>
    </row>
    <row r="135" spans="2:26" ht="15.75" customHeight="1" outlineLevel="1" x14ac:dyDescent="0.25">
      <c r="C135" s="264" t="s">
        <v>181</v>
      </c>
      <c r="D135" s="45" t="s">
        <v>168</v>
      </c>
      <c r="E135" s="21">
        <v>171.29999999999998</v>
      </c>
      <c r="F135" s="21">
        <v>194</v>
      </c>
      <c r="G135" s="21">
        <v>29.9</v>
      </c>
      <c r="H135" s="121">
        <f>-H111*H84</f>
        <v>32.586932835820889</v>
      </c>
      <c r="I135" s="121">
        <f t="shared" ref="I135:M135" si="90">-I111*I84</f>
        <v>35.690953544597015</v>
      </c>
      <c r="J135" s="121">
        <f t="shared" si="90"/>
        <v>36.342232379965367</v>
      </c>
      <c r="K135" s="121">
        <f t="shared" si="90"/>
        <v>38.568543188865576</v>
      </c>
      <c r="L135" s="121">
        <f t="shared" si="90"/>
        <v>40.802834790149731</v>
      </c>
      <c r="M135" s="121">
        <f t="shared" si="90"/>
        <v>43.042336815109763</v>
      </c>
      <c r="O135" s="525"/>
      <c r="P135" s="526"/>
      <c r="Q135" s="525"/>
      <c r="R135" s="525"/>
      <c r="S135" s="525"/>
      <c r="T135" s="525"/>
      <c r="U135" s="525"/>
      <c r="V135" s="525"/>
      <c r="W135" s="525"/>
      <c r="X135" s="525"/>
      <c r="Y135" s="525"/>
      <c r="Z135" s="525"/>
    </row>
    <row r="136" spans="2:26" ht="15.75" customHeight="1" outlineLevel="1" x14ac:dyDescent="0.25">
      <c r="C136" s="68" t="s">
        <v>46</v>
      </c>
      <c r="D136" s="48" t="s">
        <v>168</v>
      </c>
      <c r="E136" s="33">
        <f>SUM(E133:E135)</f>
        <v>321.2</v>
      </c>
      <c r="F136" s="33">
        <f>SUM(F133:F135)</f>
        <v>361.4</v>
      </c>
      <c r="G136" s="33">
        <f>SUM(G133:G135)</f>
        <v>341.09999999999997</v>
      </c>
      <c r="H136" s="33">
        <f>SUM(H133:H135)</f>
        <v>505.63516719136487</v>
      </c>
      <c r="I136" s="33">
        <f t="shared" ref="I136:M136" si="91">SUM(I133:I135)</f>
        <v>663.18813622995435</v>
      </c>
      <c r="J136" s="33">
        <f t="shared" si="91"/>
        <v>792.17209243072068</v>
      </c>
      <c r="K136" s="33">
        <f t="shared" si="91"/>
        <v>939.25021020399436</v>
      </c>
      <c r="L136" s="33">
        <f t="shared" si="91"/>
        <v>1146.0367772751945</v>
      </c>
      <c r="M136" s="33">
        <f t="shared" si="91"/>
        <v>1414.2658021912464</v>
      </c>
      <c r="O136" s="525"/>
      <c r="P136" s="525"/>
      <c r="Q136" s="525"/>
      <c r="R136" s="525"/>
      <c r="S136" s="525"/>
      <c r="T136" s="525"/>
      <c r="U136" s="525"/>
      <c r="V136" s="525"/>
      <c r="W136" s="525"/>
      <c r="X136" s="525"/>
      <c r="Y136" s="525"/>
      <c r="Z136" s="525"/>
    </row>
    <row r="137" spans="2:26" ht="15.75" customHeight="1" outlineLevel="1" x14ac:dyDescent="0.25">
      <c r="C137" s="20"/>
      <c r="E137" s="121"/>
      <c r="F137" s="121"/>
      <c r="G137" s="121"/>
      <c r="H137" s="151"/>
      <c r="I137" s="151"/>
      <c r="J137" s="151"/>
      <c r="K137" s="151"/>
      <c r="L137" s="151"/>
      <c r="M137" s="151"/>
      <c r="O137" s="525"/>
      <c r="P137" s="525"/>
      <c r="Q137" s="525"/>
      <c r="R137" s="525"/>
      <c r="S137" s="525"/>
      <c r="T137" s="525"/>
      <c r="U137" s="525"/>
      <c r="V137" s="525"/>
      <c r="W137" s="525"/>
      <c r="X137" s="525"/>
      <c r="Y137" s="525"/>
      <c r="Z137" s="525"/>
    </row>
    <row r="138" spans="2:26" ht="15.75" customHeight="1" outlineLevel="1" x14ac:dyDescent="0.25">
      <c r="C138" s="67" t="s">
        <v>61</v>
      </c>
      <c r="E138" s="121"/>
      <c r="F138" s="121"/>
      <c r="G138" s="121"/>
      <c r="H138" s="151"/>
      <c r="I138" s="151"/>
      <c r="J138" s="151"/>
      <c r="K138" s="151"/>
      <c r="L138" s="151"/>
      <c r="M138" s="151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525"/>
    </row>
    <row r="139" spans="2:26" ht="15.75" customHeight="1" outlineLevel="1" x14ac:dyDescent="0.25">
      <c r="C139" s="169" t="s">
        <v>47</v>
      </c>
      <c r="D139" s="113" t="s">
        <v>168</v>
      </c>
      <c r="E139" s="82">
        <v>1079.8</v>
      </c>
      <c r="F139" s="82">
        <v>1249.8</v>
      </c>
      <c r="G139" s="82">
        <v>1333.1000000000001</v>
      </c>
      <c r="H139" s="166">
        <f>G139-H173-H183-H184</f>
        <v>1345.4872008020798</v>
      </c>
      <c r="I139" s="166">
        <f t="shared" ref="I139:M139" si="92">H139-I173-I183-I184</f>
        <v>1383.7102700180865</v>
      </c>
      <c r="J139" s="166">
        <f t="shared" si="92"/>
        <v>1449.3872110335149</v>
      </c>
      <c r="K139" s="166">
        <f t="shared" si="92"/>
        <v>1507.6075978608123</v>
      </c>
      <c r="L139" s="166">
        <f t="shared" si="92"/>
        <v>1526.6687976480598</v>
      </c>
      <c r="M139" s="166">
        <f t="shared" si="92"/>
        <v>1507.7753240804336</v>
      </c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525"/>
    </row>
    <row r="140" spans="2:26" ht="15.75" customHeight="1" outlineLevel="1" x14ac:dyDescent="0.25">
      <c r="C140" s="260" t="s">
        <v>178</v>
      </c>
      <c r="D140" s="113" t="s">
        <v>168</v>
      </c>
      <c r="E140" s="82">
        <v>175.3</v>
      </c>
      <c r="F140" s="82">
        <v>162.69999999999999</v>
      </c>
      <c r="G140" s="82">
        <v>251.8</v>
      </c>
      <c r="H140" s="166">
        <f>G140-H175-H185</f>
        <v>304.05</v>
      </c>
      <c r="I140" s="166">
        <f t="shared" ref="I140:M140" si="93">H140-I175-I185</f>
        <v>355.95</v>
      </c>
      <c r="J140" s="166">
        <f t="shared" si="93"/>
        <v>407.5</v>
      </c>
      <c r="K140" s="166">
        <f t="shared" si="93"/>
        <v>455.3</v>
      </c>
      <c r="L140" s="166">
        <f t="shared" si="93"/>
        <v>502.7</v>
      </c>
      <c r="M140" s="166">
        <f t="shared" si="93"/>
        <v>549.70000000000005</v>
      </c>
      <c r="O140" s="525"/>
      <c r="P140" s="525"/>
      <c r="Q140" s="525"/>
      <c r="R140" s="525"/>
      <c r="S140" s="525"/>
      <c r="T140" s="525"/>
      <c r="U140" s="525"/>
      <c r="V140" s="525"/>
      <c r="W140" s="525"/>
      <c r="X140" s="525"/>
      <c r="Y140" s="525"/>
      <c r="Z140" s="525"/>
    </row>
    <row r="141" spans="2:26" ht="15.75" customHeight="1" outlineLevel="1" x14ac:dyDescent="0.25">
      <c r="C141" s="169" t="s">
        <v>48</v>
      </c>
      <c r="D141" s="113" t="s">
        <v>168</v>
      </c>
      <c r="E141" s="82">
        <v>330.4</v>
      </c>
      <c r="F141" s="82">
        <v>330.4</v>
      </c>
      <c r="G141" s="82">
        <v>340.8</v>
      </c>
      <c r="H141" s="166">
        <f>G141-H176</f>
        <v>340.8</v>
      </c>
      <c r="I141" s="166">
        <f t="shared" ref="I141:M141" si="94">H141-I176</f>
        <v>340.8</v>
      </c>
      <c r="J141" s="166">
        <f t="shared" si="94"/>
        <v>340.8</v>
      </c>
      <c r="K141" s="166">
        <f t="shared" si="94"/>
        <v>340.8</v>
      </c>
      <c r="L141" s="166">
        <f t="shared" si="94"/>
        <v>340.8</v>
      </c>
      <c r="M141" s="166">
        <f t="shared" si="94"/>
        <v>340.8</v>
      </c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</row>
    <row r="142" spans="2:26" ht="15.75" customHeight="1" outlineLevel="1" x14ac:dyDescent="0.25">
      <c r="C142" s="169" t="s">
        <v>49</v>
      </c>
      <c r="D142" s="113" t="s">
        <v>168</v>
      </c>
      <c r="E142" s="82">
        <v>70.7</v>
      </c>
      <c r="F142" s="82">
        <v>90.9</v>
      </c>
      <c r="G142" s="82">
        <v>86.9</v>
      </c>
      <c r="H142" s="166">
        <f>G142-H174</f>
        <v>82.800000000000011</v>
      </c>
      <c r="I142" s="166">
        <f t="shared" ref="I142:M142" si="95">H142-I174</f>
        <v>78.700000000000017</v>
      </c>
      <c r="J142" s="166">
        <f t="shared" si="95"/>
        <v>74.600000000000023</v>
      </c>
      <c r="K142" s="166">
        <f t="shared" si="95"/>
        <v>70.500000000000028</v>
      </c>
      <c r="L142" s="166">
        <f t="shared" si="95"/>
        <v>66.400000000000034</v>
      </c>
      <c r="M142" s="166">
        <f t="shared" si="95"/>
        <v>62.300000000000033</v>
      </c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</row>
    <row r="143" spans="2:26" ht="15.75" customHeight="1" outlineLevel="1" x14ac:dyDescent="0.25">
      <c r="C143" s="260" t="s">
        <v>179</v>
      </c>
      <c r="D143" s="113" t="s">
        <v>168</v>
      </c>
      <c r="E143" s="82">
        <v>23.7</v>
      </c>
      <c r="F143" s="82">
        <v>51.1</v>
      </c>
      <c r="G143" s="82">
        <v>60.1</v>
      </c>
      <c r="H143" s="166">
        <f>G143-H171-H172</f>
        <v>70.183528134989828</v>
      </c>
      <c r="I143" s="166">
        <f t="shared" ref="I143:M143" si="96">H143-I171-I172</f>
        <v>80.781328842241379</v>
      </c>
      <c r="J143" s="166">
        <f t="shared" si="96"/>
        <v>91.624068305304363</v>
      </c>
      <c r="K143" s="166">
        <f t="shared" si="96"/>
        <v>102.38489541710364</v>
      </c>
      <c r="L143" s="166">
        <f t="shared" si="96"/>
        <v>112.69172709966293</v>
      </c>
      <c r="M143" s="166">
        <f t="shared" si="96"/>
        <v>124.03612178309102</v>
      </c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</row>
    <row r="144" spans="2:26" ht="15.75" customHeight="1" outlineLevel="1" x14ac:dyDescent="0.25">
      <c r="C144" s="122" t="s">
        <v>50</v>
      </c>
      <c r="D144" s="45" t="s">
        <v>168</v>
      </c>
      <c r="E144" s="72">
        <v>263.60000000000002</v>
      </c>
      <c r="F144" s="72">
        <v>256.3</v>
      </c>
      <c r="G144" s="72">
        <v>261.5</v>
      </c>
      <c r="H144" s="154">
        <f>H107*H85</f>
        <v>282.9371602790095</v>
      </c>
      <c r="I144" s="154">
        <f t="shared" ref="I144:M144" si="97">I107*I85</f>
        <v>323.02177892930376</v>
      </c>
      <c r="J144" s="154">
        <f t="shared" si="97"/>
        <v>339.82202355056887</v>
      </c>
      <c r="K144" s="154">
        <f t="shared" si="97"/>
        <v>369.06463538971246</v>
      </c>
      <c r="L144" s="154">
        <f t="shared" si="97"/>
        <v>395.961188964587</v>
      </c>
      <c r="M144" s="154">
        <f t="shared" si="97"/>
        <v>423.87405655433793</v>
      </c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</row>
    <row r="145" spans="2:24" ht="15.75" customHeight="1" outlineLevel="1" x14ac:dyDescent="0.25">
      <c r="C145" s="69" t="s">
        <v>51</v>
      </c>
      <c r="D145" s="48" t="s">
        <v>168</v>
      </c>
      <c r="E145" s="36">
        <f>SUM(E139:E144)</f>
        <v>1943.5</v>
      </c>
      <c r="F145" s="36">
        <f>SUM(F139:F144)</f>
        <v>2141.2000000000003</v>
      </c>
      <c r="G145" s="36">
        <f>SUM(G139:G144)</f>
        <v>2334.2000000000003</v>
      </c>
      <c r="H145" s="36">
        <f>SUM(H139:H144)</f>
        <v>2426.2578892160791</v>
      </c>
      <c r="I145" s="36">
        <f t="shared" ref="I145:M145" si="98">SUM(I139:I144)</f>
        <v>2562.9633777896315</v>
      </c>
      <c r="J145" s="36">
        <f t="shared" si="98"/>
        <v>2703.7333028893877</v>
      </c>
      <c r="K145" s="36">
        <f t="shared" si="98"/>
        <v>2845.6571286676281</v>
      </c>
      <c r="L145" s="36">
        <f t="shared" si="98"/>
        <v>2945.2217137123098</v>
      </c>
      <c r="M145" s="36">
        <f t="shared" si="98"/>
        <v>3008.4855024178632</v>
      </c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</row>
    <row r="146" spans="2:24" ht="15.75" customHeight="1" outlineLevel="1" x14ac:dyDescent="0.25">
      <c r="C146" s="20"/>
      <c r="E146" s="121"/>
      <c r="F146" s="121"/>
      <c r="G146" s="121"/>
      <c r="H146" s="121"/>
      <c r="I146" s="121"/>
      <c r="J146" s="121"/>
      <c r="K146" s="121"/>
      <c r="L146" s="121"/>
      <c r="M146" s="121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</row>
    <row r="147" spans="2:24" ht="15.75" customHeight="1" outlineLevel="1" x14ac:dyDescent="0.25">
      <c r="C147" s="67" t="s">
        <v>52</v>
      </c>
      <c r="D147" s="48" t="s">
        <v>168</v>
      </c>
      <c r="E147" s="265">
        <f>E136+E145</f>
        <v>2264.6999999999998</v>
      </c>
      <c r="F147" s="265">
        <f>F136+F145</f>
        <v>2502.6000000000004</v>
      </c>
      <c r="G147" s="265">
        <f>G136+G145</f>
        <v>2675.3</v>
      </c>
      <c r="H147" s="265">
        <f>H136+H145</f>
        <v>2931.893056407444</v>
      </c>
      <c r="I147" s="265">
        <f t="shared" ref="I147:M147" si="99">I136+I145</f>
        <v>3226.1515140195861</v>
      </c>
      <c r="J147" s="265">
        <f t="shared" si="99"/>
        <v>3495.9053953201083</v>
      </c>
      <c r="K147" s="265">
        <f t="shared" si="99"/>
        <v>3784.9073388716224</v>
      </c>
      <c r="L147" s="265">
        <f t="shared" si="99"/>
        <v>4091.258490987504</v>
      </c>
      <c r="M147" s="265">
        <f t="shared" si="99"/>
        <v>4422.7513046091099</v>
      </c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</row>
    <row r="148" spans="2:24" ht="15.75" customHeight="1" outlineLevel="1" x14ac:dyDescent="0.25">
      <c r="C148" s="20"/>
      <c r="E148" s="121"/>
      <c r="F148" s="121"/>
      <c r="G148" s="151"/>
      <c r="H148" s="121"/>
      <c r="I148" s="121"/>
      <c r="J148" s="121"/>
      <c r="K148" s="121"/>
      <c r="L148" s="121"/>
      <c r="M148" s="121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</row>
    <row r="149" spans="2:24" ht="15.75" customHeight="1" outlineLevel="1" x14ac:dyDescent="0.25">
      <c r="B149" s="64" t="s">
        <v>55</v>
      </c>
      <c r="C149" s="70"/>
      <c r="D149" s="146"/>
      <c r="E149" s="163"/>
      <c r="F149" s="163"/>
      <c r="G149" s="163"/>
      <c r="H149" s="163"/>
      <c r="I149" s="163"/>
      <c r="J149" s="163"/>
      <c r="K149" s="163"/>
      <c r="L149" s="163"/>
      <c r="M149" s="163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</row>
    <row r="150" spans="2:24" ht="15.75" customHeight="1" outlineLevel="1" x14ac:dyDescent="0.25">
      <c r="C150" s="67" t="s">
        <v>62</v>
      </c>
      <c r="E150" s="121"/>
      <c r="F150" s="121"/>
      <c r="G150" s="151"/>
      <c r="H150" s="121"/>
      <c r="I150" s="121"/>
      <c r="J150" s="121"/>
      <c r="K150" s="121"/>
      <c r="L150" s="121"/>
      <c r="M150" s="121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</row>
    <row r="151" spans="2:24" ht="15.75" customHeight="1" outlineLevel="1" x14ac:dyDescent="0.25">
      <c r="C151" s="264" t="s">
        <v>182</v>
      </c>
      <c r="D151" s="45" t="s">
        <v>168</v>
      </c>
      <c r="E151" s="262">
        <v>180.2</v>
      </c>
      <c r="F151" s="262">
        <v>152.6</v>
      </c>
      <c r="G151" s="262">
        <v>141.69999999999999</v>
      </c>
      <c r="H151" s="271">
        <f>-H113*H87</f>
        <v>159.58533107803984</v>
      </c>
      <c r="I151" s="271">
        <f t="shared" ref="I151:M151" si="100">-I113*I87</f>
        <v>179.96789609512828</v>
      </c>
      <c r="J151" s="271">
        <f t="shared" si="100"/>
        <v>187.79220438515395</v>
      </c>
      <c r="K151" s="271">
        <f t="shared" si="100"/>
        <v>202.16578823169596</v>
      </c>
      <c r="L151" s="271">
        <f t="shared" si="100"/>
        <v>215.81972531359261</v>
      </c>
      <c r="M151" s="271">
        <f t="shared" si="100"/>
        <v>229.9235062361947</v>
      </c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</row>
    <row r="152" spans="2:24" ht="15.75" customHeight="1" outlineLevel="1" x14ac:dyDescent="0.25">
      <c r="C152" s="68" t="s">
        <v>54</v>
      </c>
      <c r="D152" s="48" t="s">
        <v>168</v>
      </c>
      <c r="E152" s="33">
        <f>SUM(E151)</f>
        <v>180.2</v>
      </c>
      <c r="F152" s="33">
        <f>SUM(F151)</f>
        <v>152.6</v>
      </c>
      <c r="G152" s="33">
        <f>SUM(G151)</f>
        <v>141.69999999999999</v>
      </c>
      <c r="H152" s="33">
        <f>SUM(H151)</f>
        <v>159.58533107803984</v>
      </c>
      <c r="I152" s="33">
        <f t="shared" ref="I152:M152" si="101">SUM(I151)</f>
        <v>179.96789609512828</v>
      </c>
      <c r="J152" s="33">
        <f t="shared" si="101"/>
        <v>187.79220438515395</v>
      </c>
      <c r="K152" s="33">
        <f t="shared" si="101"/>
        <v>202.16578823169596</v>
      </c>
      <c r="L152" s="33">
        <f t="shared" si="101"/>
        <v>215.81972531359261</v>
      </c>
      <c r="M152" s="33">
        <f t="shared" si="101"/>
        <v>229.9235062361947</v>
      </c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</row>
    <row r="153" spans="2:24" ht="15.75" customHeight="1" outlineLevel="1" x14ac:dyDescent="0.25">
      <c r="C153" s="20"/>
      <c r="E153" s="121"/>
      <c r="F153" s="121"/>
      <c r="G153" s="151"/>
      <c r="H153" s="151"/>
      <c r="I153" s="151"/>
      <c r="J153" s="151"/>
      <c r="K153" s="151"/>
      <c r="L153" s="151"/>
      <c r="M153" s="151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</row>
    <row r="154" spans="2:24" ht="15.75" customHeight="1" outlineLevel="1" x14ac:dyDescent="0.25">
      <c r="C154" s="67" t="s">
        <v>63</v>
      </c>
      <c r="E154" s="121"/>
      <c r="F154" s="121"/>
      <c r="G154" s="151"/>
      <c r="H154" s="151"/>
      <c r="I154" s="151"/>
      <c r="J154" s="151"/>
      <c r="K154" s="151"/>
      <c r="L154" s="151"/>
      <c r="M154" s="151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</row>
    <row r="155" spans="2:24" ht="15.75" customHeight="1" outlineLevel="1" x14ac:dyDescent="0.25">
      <c r="C155" s="266" t="s">
        <v>109</v>
      </c>
      <c r="D155" s="113" t="s">
        <v>168</v>
      </c>
      <c r="E155" s="82">
        <v>0</v>
      </c>
      <c r="F155" s="82">
        <v>91.7</v>
      </c>
      <c r="G155" s="82">
        <v>0</v>
      </c>
      <c r="H155" s="166">
        <f>G155+H191+H194</f>
        <v>0</v>
      </c>
      <c r="I155" s="166">
        <f t="shared" ref="I155:M155" si="102">H155+I191+I194</f>
        <v>0</v>
      </c>
      <c r="J155" s="166">
        <f t="shared" si="102"/>
        <v>0</v>
      </c>
      <c r="K155" s="166">
        <f t="shared" si="102"/>
        <v>0</v>
      </c>
      <c r="L155" s="166">
        <f t="shared" si="102"/>
        <v>0</v>
      </c>
      <c r="M155" s="166">
        <f t="shared" si="102"/>
        <v>0</v>
      </c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</row>
    <row r="156" spans="2:24" ht="15.75" customHeight="1" outlineLevel="1" x14ac:dyDescent="0.25">
      <c r="C156" s="266" t="s">
        <v>128</v>
      </c>
      <c r="D156" s="113" t="s">
        <v>168</v>
      </c>
      <c r="E156" s="82">
        <v>56.6</v>
      </c>
      <c r="F156" s="82">
        <v>64.7</v>
      </c>
      <c r="G156" s="82">
        <v>98.2</v>
      </c>
      <c r="H156" s="166">
        <f>G156+H177</f>
        <v>105.67992288464588</v>
      </c>
      <c r="I156" s="166">
        <f t="shared" ref="I156:M156" si="103">H156+I177</f>
        <v>113.6899281671047</v>
      </c>
      <c r="J156" s="166">
        <f t="shared" si="103"/>
        <v>120.66013006865759</v>
      </c>
      <c r="K156" s="166">
        <f t="shared" si="103"/>
        <v>128.16122985918815</v>
      </c>
      <c r="L156" s="166">
        <f t="shared" si="103"/>
        <v>136.55046926038725</v>
      </c>
      <c r="M156" s="166">
        <f t="shared" si="103"/>
        <v>145.92725715193751</v>
      </c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</row>
    <row r="157" spans="2:24" ht="15.75" customHeight="1" outlineLevel="1" x14ac:dyDescent="0.25">
      <c r="C157" s="260" t="s">
        <v>180</v>
      </c>
      <c r="D157" s="113" t="s">
        <v>168</v>
      </c>
      <c r="E157" s="82">
        <v>170</v>
      </c>
      <c r="F157" s="82">
        <v>158.30000000000001</v>
      </c>
      <c r="G157" s="82">
        <v>248.4</v>
      </c>
      <c r="H157" s="166">
        <f>G157+H192+H193</f>
        <v>300.64999999999998</v>
      </c>
      <c r="I157" s="166">
        <f t="shared" ref="I157:M157" si="104">H157+I192+I193</f>
        <v>352.54999999999995</v>
      </c>
      <c r="J157" s="166">
        <f t="shared" si="104"/>
        <v>404.09999999999997</v>
      </c>
      <c r="K157" s="166">
        <f t="shared" si="104"/>
        <v>451.9</v>
      </c>
      <c r="L157" s="166">
        <f t="shared" si="104"/>
        <v>499.29999999999995</v>
      </c>
      <c r="M157" s="166">
        <f t="shared" si="104"/>
        <v>546.29999999999995</v>
      </c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</row>
    <row r="158" spans="2:24" ht="15.75" customHeight="1" outlineLevel="1" x14ac:dyDescent="0.25">
      <c r="C158" s="119" t="s">
        <v>56</v>
      </c>
      <c r="D158" s="45" t="s">
        <v>168</v>
      </c>
      <c r="E158" s="21">
        <v>322.60000000000002</v>
      </c>
      <c r="F158" s="21">
        <v>322.10000000000002</v>
      </c>
      <c r="G158" s="21">
        <v>268</v>
      </c>
      <c r="H158" s="121">
        <f>-H113*H88</f>
        <v>305.94512538953103</v>
      </c>
      <c r="I158" s="121">
        <f t="shared" ref="I158:M158" si="105">-I113*I88</f>
        <v>345.02106280676082</v>
      </c>
      <c r="J158" s="121">
        <f t="shared" si="105"/>
        <v>360.02124461988524</v>
      </c>
      <c r="K158" s="121">
        <f t="shared" si="105"/>
        <v>387.57721033754115</v>
      </c>
      <c r="L158" s="121">
        <f t="shared" si="105"/>
        <v>413.7535228116422</v>
      </c>
      <c r="M158" s="121">
        <f t="shared" si="105"/>
        <v>440.79224243382265</v>
      </c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</row>
    <row r="159" spans="2:24" ht="15.75" customHeight="1" outlineLevel="1" x14ac:dyDescent="0.25">
      <c r="C159" s="68" t="s">
        <v>57</v>
      </c>
      <c r="D159" s="48" t="s">
        <v>168</v>
      </c>
      <c r="E159" s="73">
        <f>SUM(E155:E158)</f>
        <v>549.20000000000005</v>
      </c>
      <c r="F159" s="73">
        <f>SUM(F155:F158)</f>
        <v>636.80000000000007</v>
      </c>
      <c r="G159" s="73">
        <f>SUM(G155:G158)</f>
        <v>614.6</v>
      </c>
      <c r="H159" s="33">
        <f>SUM(H155:H158)</f>
        <v>712.27504827417692</v>
      </c>
      <c r="I159" s="33">
        <f t="shared" ref="I159:M159" si="106">SUM(I155:I158)</f>
        <v>811.26099097386555</v>
      </c>
      <c r="J159" s="33">
        <f t="shared" si="106"/>
        <v>884.78137468854277</v>
      </c>
      <c r="K159" s="33">
        <f t="shared" si="106"/>
        <v>967.63844019672933</v>
      </c>
      <c r="L159" s="33">
        <f t="shared" si="106"/>
        <v>1049.6039920720293</v>
      </c>
      <c r="M159" s="33">
        <f t="shared" si="106"/>
        <v>1133.0194995857601</v>
      </c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</row>
    <row r="160" spans="2:24" ht="15.75" customHeight="1" outlineLevel="1" x14ac:dyDescent="0.25">
      <c r="C160" s="20"/>
      <c r="E160" s="121"/>
      <c r="F160" s="121"/>
      <c r="G160" s="151"/>
      <c r="H160" s="151"/>
      <c r="I160" s="151"/>
      <c r="J160" s="151"/>
      <c r="K160" s="151"/>
      <c r="L160" s="151"/>
      <c r="M160" s="151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</row>
    <row r="161" spans="2:24" ht="15.75" customHeight="1" outlineLevel="1" x14ac:dyDescent="0.25">
      <c r="C161" s="71" t="s">
        <v>129</v>
      </c>
      <c r="D161" s="113" t="s">
        <v>168</v>
      </c>
      <c r="E161" s="267">
        <f>E147-E152-E159</f>
        <v>1535.3</v>
      </c>
      <c r="F161" s="267">
        <f>F147-F152-F159</f>
        <v>1713.2000000000003</v>
      </c>
      <c r="G161" s="267">
        <f>G147-G152-G159</f>
        <v>1919.0000000000005</v>
      </c>
      <c r="H161" s="139">
        <f>G161+H170+H178+H189+H190</f>
        <v>2060.0326770552274</v>
      </c>
      <c r="I161" s="139">
        <f t="shared" ref="I161:M161" si="107">H161+I170+I178+I189+I190</f>
        <v>2234.9226269505921</v>
      </c>
      <c r="J161" s="139">
        <f t="shared" si="107"/>
        <v>2423.3318162464116</v>
      </c>
      <c r="K161" s="139">
        <f t="shared" si="107"/>
        <v>2615.1031104431972</v>
      </c>
      <c r="L161" s="139">
        <f t="shared" si="107"/>
        <v>2825.8347736018818</v>
      </c>
      <c r="M161" s="139">
        <f t="shared" si="107"/>
        <v>3059.8082987871539</v>
      </c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</row>
    <row r="162" spans="2:24" ht="15.75" customHeight="1" outlineLevel="1" x14ac:dyDescent="0.25">
      <c r="C162" s="20"/>
      <c r="E162" s="121"/>
      <c r="F162" s="121"/>
      <c r="G162" s="121"/>
      <c r="H162" s="121"/>
      <c r="I162" s="121"/>
      <c r="J162" s="121"/>
      <c r="K162" s="121"/>
      <c r="L162" s="121"/>
      <c r="M162" s="121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</row>
    <row r="163" spans="2:24" ht="15.75" customHeight="1" outlineLevel="1" x14ac:dyDescent="0.25">
      <c r="C163" s="67" t="s">
        <v>58</v>
      </c>
      <c r="D163" s="48" t="s">
        <v>168</v>
      </c>
      <c r="E163" s="265">
        <f>E152+E159+E161</f>
        <v>2264.6999999999998</v>
      </c>
      <c r="F163" s="265">
        <f>F152+F159+F161</f>
        <v>2502.6000000000004</v>
      </c>
      <c r="G163" s="265">
        <f>G152+G159+G161</f>
        <v>2675.3</v>
      </c>
      <c r="H163" s="265">
        <f>H152+H159+H161</f>
        <v>2931.8930564074444</v>
      </c>
      <c r="I163" s="265">
        <f t="shared" ref="I163:M163" si="108">I152+I159+I161</f>
        <v>3226.1515140195861</v>
      </c>
      <c r="J163" s="265">
        <f t="shared" si="108"/>
        <v>3495.9053953201083</v>
      </c>
      <c r="K163" s="265">
        <f t="shared" si="108"/>
        <v>3784.9073388716224</v>
      </c>
      <c r="L163" s="265">
        <f t="shared" si="108"/>
        <v>4091.258490987504</v>
      </c>
      <c r="M163" s="265">
        <f t="shared" si="108"/>
        <v>4422.751304609109</v>
      </c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</row>
    <row r="164" spans="2:24" ht="15.75" customHeight="1" outlineLevel="1" x14ac:dyDescent="0.25">
      <c r="C164" s="20"/>
      <c r="E164" s="121"/>
      <c r="F164" s="121"/>
      <c r="G164" s="121"/>
      <c r="H164" s="121"/>
      <c r="I164" s="121"/>
      <c r="J164" s="121"/>
      <c r="K164" s="121"/>
      <c r="L164" s="121"/>
      <c r="M164" s="121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</row>
    <row r="165" spans="2:24" ht="15.75" customHeight="1" outlineLevel="1" x14ac:dyDescent="0.25">
      <c r="C165" s="157" t="s">
        <v>59</v>
      </c>
      <c r="E165" s="74">
        <f>E147-E163</f>
        <v>0</v>
      </c>
      <c r="F165" s="74">
        <f>F147-F163</f>
        <v>0</v>
      </c>
      <c r="G165" s="74">
        <f>G147-G163</f>
        <v>0</v>
      </c>
      <c r="H165" s="74">
        <f>H147-H163</f>
        <v>0</v>
      </c>
      <c r="I165" s="74">
        <f t="shared" ref="I165:M165" si="109">I147-I163</f>
        <v>0</v>
      </c>
      <c r="J165" s="74">
        <f t="shared" si="109"/>
        <v>0</v>
      </c>
      <c r="K165" s="74">
        <f t="shared" si="109"/>
        <v>0</v>
      </c>
      <c r="L165" s="74">
        <f t="shared" si="109"/>
        <v>0</v>
      </c>
      <c r="M165" s="74">
        <f t="shared" si="109"/>
        <v>0</v>
      </c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</row>
    <row r="166" spans="2:24" ht="15.75" customHeight="1" x14ac:dyDescent="0.25">
      <c r="C166" s="20"/>
      <c r="E166" s="121"/>
      <c r="F166" s="151"/>
      <c r="G166" s="151"/>
      <c r="H166" s="121"/>
      <c r="I166" s="121"/>
      <c r="J166" s="121"/>
      <c r="K166" s="121"/>
      <c r="L166" s="121"/>
      <c r="M166" s="121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</row>
    <row r="167" spans="2:24" ht="15.75" customHeight="1" x14ac:dyDescent="0.25">
      <c r="B167" s="25"/>
      <c r="C167" s="26"/>
      <c r="D167" s="14"/>
      <c r="E167" s="15" t="str">
        <f>$E$5</f>
        <v>Historical:</v>
      </c>
      <c r="F167" s="16"/>
      <c r="G167" s="16"/>
      <c r="H167" s="17" t="str">
        <f>$H$5</f>
        <v>Projected:</v>
      </c>
      <c r="I167" s="18"/>
      <c r="J167" s="16"/>
      <c r="K167" s="16"/>
      <c r="L167" s="16"/>
      <c r="M167" s="1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</row>
    <row r="168" spans="2:24" ht="15.75" customHeight="1" x14ac:dyDescent="0.25">
      <c r="B168" s="4" t="s">
        <v>22</v>
      </c>
      <c r="C168" s="5"/>
      <c r="D168" s="35" t="str">
        <f>LBO_4_Hours!$D$5</f>
        <v>Units:</v>
      </c>
      <c r="E168" s="1">
        <f>$E$6</f>
        <v>43190</v>
      </c>
      <c r="F168" s="1">
        <f>$F$6</f>
        <v>43555</v>
      </c>
      <c r="G168" s="2">
        <f>$G$6</f>
        <v>43921</v>
      </c>
      <c r="H168" s="61">
        <f>$H$6</f>
        <v>44286</v>
      </c>
      <c r="I168" s="1">
        <f>$I$6</f>
        <v>44651</v>
      </c>
      <c r="J168" s="1">
        <f>$J$6</f>
        <v>45016</v>
      </c>
      <c r="K168" s="1">
        <f>$K$6</f>
        <v>45382</v>
      </c>
      <c r="L168" s="1">
        <f>$L$6</f>
        <v>45747</v>
      </c>
      <c r="M168" s="1">
        <f>$M$6</f>
        <v>46112</v>
      </c>
    </row>
    <row r="169" spans="2:24" ht="15.75" customHeight="1" outlineLevel="1" x14ac:dyDescent="0.25">
      <c r="B169" s="9" t="s">
        <v>67</v>
      </c>
      <c r="C169" s="64"/>
      <c r="D169" s="9"/>
      <c r="E169" s="9" t="s">
        <v>68</v>
      </c>
      <c r="F169" s="9" t="s">
        <v>68</v>
      </c>
      <c r="G169" s="9" t="s">
        <v>68</v>
      </c>
      <c r="H169" s="9" t="s">
        <v>68</v>
      </c>
      <c r="I169" s="9" t="s">
        <v>68</v>
      </c>
      <c r="J169" s="9" t="s">
        <v>68</v>
      </c>
      <c r="K169" s="9" t="s">
        <v>68</v>
      </c>
      <c r="L169" s="9" t="s">
        <v>68</v>
      </c>
      <c r="M169" s="9"/>
    </row>
    <row r="170" spans="2:24" ht="15.75" customHeight="1" outlineLevel="1" x14ac:dyDescent="0.25">
      <c r="C170" s="3" t="s">
        <v>127</v>
      </c>
      <c r="D170" s="48" t="s">
        <v>168</v>
      </c>
      <c r="E170" s="265">
        <f t="shared" ref="E170:G170" si="110">E127</f>
        <v>39.900000000000055</v>
      </c>
      <c r="F170" s="265">
        <f t="shared" si="110"/>
        <v>54.000000000000071</v>
      </c>
      <c r="G170" s="265">
        <f t="shared" si="110"/>
        <v>83.800000000000082</v>
      </c>
      <c r="H170" s="265">
        <f>H127</f>
        <v>121.31864099233607</v>
      </c>
      <c r="I170" s="265">
        <f t="shared" ref="I170:M170" si="111">I127</f>
        <v>152.38296285756516</v>
      </c>
      <c r="J170" s="265">
        <f t="shared" si="111"/>
        <v>164.73162209102316</v>
      </c>
      <c r="K170" s="265">
        <f t="shared" si="111"/>
        <v>166.05620776403941</v>
      </c>
      <c r="L170" s="265">
        <f t="shared" si="111"/>
        <v>183.1425223365475</v>
      </c>
      <c r="M170" s="265">
        <f t="shared" si="111"/>
        <v>204.43951689595482</v>
      </c>
    </row>
    <row r="171" spans="2:24" ht="15.75" customHeight="1" outlineLevel="1" x14ac:dyDescent="0.25">
      <c r="C171" s="264" t="s">
        <v>184</v>
      </c>
      <c r="D171" s="48" t="s">
        <v>168</v>
      </c>
      <c r="E171" s="183">
        <f t="shared" ref="E171:G171" si="112">-E126</f>
        <v>-8</v>
      </c>
      <c r="F171" s="47">
        <f t="shared" si="112"/>
        <v>-12.4</v>
      </c>
      <c r="G171" s="47">
        <f t="shared" si="112"/>
        <v>-14.8</v>
      </c>
      <c r="H171" s="47">
        <f>-H126</f>
        <v>-15.025</v>
      </c>
      <c r="I171" s="47">
        <f t="shared" ref="I171:M171" si="113">-I126</f>
        <v>-15.791293830372712</v>
      </c>
      <c r="J171" s="47">
        <f t="shared" si="113"/>
        <v>-16.156265768448275</v>
      </c>
      <c r="K171" s="47">
        <f t="shared" si="113"/>
        <v>-16.034211953428262</v>
      </c>
      <c r="L171" s="47">
        <f t="shared" si="113"/>
        <v>-15.357734312565544</v>
      </c>
      <c r="M171" s="47">
        <f t="shared" si="113"/>
        <v>-16.903759064949437</v>
      </c>
    </row>
    <row r="172" spans="2:24" ht="15.75" customHeight="1" outlineLevel="1" x14ac:dyDescent="0.25">
      <c r="C172" s="264" t="s">
        <v>185</v>
      </c>
      <c r="D172" s="48" t="s">
        <v>168</v>
      </c>
      <c r="E172" s="21">
        <v>2.5</v>
      </c>
      <c r="F172" s="21">
        <v>3.5</v>
      </c>
      <c r="G172" s="21">
        <v>5.8</v>
      </c>
      <c r="H172" s="207">
        <f>-H171*H55</f>
        <v>4.941471865010171</v>
      </c>
      <c r="I172" s="207">
        <f t="shared" ref="I172:M172" si="114">-I171*I55</f>
        <v>5.1934931231211623</v>
      </c>
      <c r="J172" s="207">
        <f t="shared" si="114"/>
        <v>5.313526305385297</v>
      </c>
      <c r="K172" s="207">
        <f t="shared" si="114"/>
        <v>5.273384841628987</v>
      </c>
      <c r="L172" s="207">
        <f t="shared" si="114"/>
        <v>5.0509026300062532</v>
      </c>
      <c r="M172" s="207">
        <f t="shared" si="114"/>
        <v>5.55936438152135</v>
      </c>
    </row>
    <row r="173" spans="2:24" ht="15.75" customHeight="1" outlineLevel="1" x14ac:dyDescent="0.25">
      <c r="C173" s="182" t="s">
        <v>130</v>
      </c>
      <c r="D173" s="48" t="s">
        <v>168</v>
      </c>
      <c r="E173" s="183">
        <f t="shared" ref="E173:G173" si="115">-E116</f>
        <v>52.39912328767123</v>
      </c>
      <c r="F173" s="47">
        <f t="shared" si="115"/>
        <v>48.579399141630901</v>
      </c>
      <c r="G173" s="47">
        <f t="shared" si="115"/>
        <v>47.899328859060404</v>
      </c>
      <c r="H173" s="207">
        <f>-H116</f>
        <v>50.083333333333336</v>
      </c>
      <c r="I173" s="207">
        <f t="shared" ref="I173:M173" si="116">-I116</f>
        <v>53.5</v>
      </c>
      <c r="J173" s="207">
        <f t="shared" si="116"/>
        <v>58.25</v>
      </c>
      <c r="K173" s="207">
        <f t="shared" si="116"/>
        <v>66.400000000000006</v>
      </c>
      <c r="L173" s="207">
        <f t="shared" si="116"/>
        <v>69.866666666666674</v>
      </c>
      <c r="M173" s="207">
        <f t="shared" si="116"/>
        <v>72</v>
      </c>
    </row>
    <row r="174" spans="2:24" ht="15.75" customHeight="1" outlineLevel="1" x14ac:dyDescent="0.25">
      <c r="C174" s="182" t="s">
        <v>188</v>
      </c>
      <c r="D174" s="48" t="s">
        <v>168</v>
      </c>
      <c r="E174" s="183">
        <f t="shared" ref="E174:H174" si="117">-E117</f>
        <v>3</v>
      </c>
      <c r="F174" s="47">
        <f t="shared" si="117"/>
        <v>4.5</v>
      </c>
      <c r="G174" s="47">
        <f t="shared" si="117"/>
        <v>4.0999999999999996</v>
      </c>
      <c r="H174" s="207">
        <f t="shared" si="117"/>
        <v>4.0999999999999996</v>
      </c>
      <c r="I174" s="207">
        <f t="shared" ref="I174:M174" si="118">-I117</f>
        <v>4.0999999999999996</v>
      </c>
      <c r="J174" s="207">
        <f t="shared" si="118"/>
        <v>4.0999999999999996</v>
      </c>
      <c r="K174" s="207">
        <f t="shared" si="118"/>
        <v>4.0999999999999996</v>
      </c>
      <c r="L174" s="207">
        <f t="shared" si="118"/>
        <v>4.0999999999999996</v>
      </c>
      <c r="M174" s="207">
        <f t="shared" si="118"/>
        <v>4.0999999999999996</v>
      </c>
    </row>
    <row r="175" spans="2:24" ht="15.75" customHeight="1" outlineLevel="1" x14ac:dyDescent="0.25">
      <c r="C175" s="264" t="s">
        <v>183</v>
      </c>
      <c r="D175" s="48" t="s">
        <v>168</v>
      </c>
      <c r="E175" s="183">
        <f t="shared" ref="E175:H175" si="119">-E118</f>
        <v>16.200876712328768</v>
      </c>
      <c r="F175" s="47">
        <f t="shared" si="119"/>
        <v>24.920600858369099</v>
      </c>
      <c r="G175" s="47">
        <f t="shared" si="119"/>
        <v>30.100671140939596</v>
      </c>
      <c r="H175" s="207">
        <f t="shared" si="119"/>
        <v>22.750000000000004</v>
      </c>
      <c r="I175" s="207">
        <f t="shared" ref="I175:M175" si="120">-I118</f>
        <v>23.1</v>
      </c>
      <c r="J175" s="207">
        <f t="shared" si="120"/>
        <v>23.450000000000003</v>
      </c>
      <c r="K175" s="207">
        <f t="shared" si="120"/>
        <v>27.2</v>
      </c>
      <c r="L175" s="207">
        <f t="shared" si="120"/>
        <v>27.6</v>
      </c>
      <c r="M175" s="207">
        <f t="shared" si="120"/>
        <v>28</v>
      </c>
    </row>
    <row r="176" spans="2:24" ht="15.75" customHeight="1" outlineLevel="1" x14ac:dyDescent="0.25">
      <c r="C176" s="187" t="s">
        <v>64</v>
      </c>
      <c r="D176" s="113" t="s">
        <v>168</v>
      </c>
      <c r="E176" s="109">
        <f t="shared" ref="E176:G176" si="121">-E122</f>
        <v>0</v>
      </c>
      <c r="F176" s="109">
        <f t="shared" si="121"/>
        <v>0</v>
      </c>
      <c r="G176" s="109">
        <f t="shared" si="121"/>
        <v>0</v>
      </c>
      <c r="H176" s="259">
        <f>-H122</f>
        <v>0</v>
      </c>
      <c r="I176" s="259">
        <f t="shared" ref="I176:M176" si="122">-I122</f>
        <v>0</v>
      </c>
      <c r="J176" s="259">
        <f t="shared" si="122"/>
        <v>0</v>
      </c>
      <c r="K176" s="259">
        <f t="shared" si="122"/>
        <v>0</v>
      </c>
      <c r="L176" s="259">
        <f t="shared" si="122"/>
        <v>0</v>
      </c>
      <c r="M176" s="259">
        <f t="shared" si="122"/>
        <v>0</v>
      </c>
    </row>
    <row r="177" spans="2:13" ht="15.75" customHeight="1" outlineLevel="1" x14ac:dyDescent="0.25">
      <c r="C177" s="187" t="s">
        <v>65</v>
      </c>
      <c r="D177" s="113" t="s">
        <v>168</v>
      </c>
      <c r="E177" s="82">
        <v>14.600000000000001</v>
      </c>
      <c r="F177" s="82">
        <v>8.1000000000000014</v>
      </c>
      <c r="G177" s="82">
        <v>33.5</v>
      </c>
      <c r="H177" s="259">
        <f>-H124*H90</f>
        <v>7.4799228846458714</v>
      </c>
      <c r="I177" s="259">
        <f t="shared" ref="I177:M177" si="123">-I124*I90</f>
        <v>8.010005282458815</v>
      </c>
      <c r="J177" s="259">
        <f t="shared" si="123"/>
        <v>6.9702019015528967</v>
      </c>
      <c r="K177" s="259">
        <f t="shared" si="123"/>
        <v>7.5010997905305565</v>
      </c>
      <c r="L177" s="259">
        <f t="shared" si="123"/>
        <v>8.3892394011990969</v>
      </c>
      <c r="M177" s="259">
        <f t="shared" si="123"/>
        <v>9.3767878915502685</v>
      </c>
    </row>
    <row r="178" spans="2:13" ht="15.75" customHeight="1" outlineLevel="1" x14ac:dyDescent="0.25">
      <c r="C178" s="208" t="s">
        <v>137</v>
      </c>
      <c r="D178" s="48" t="s">
        <v>168</v>
      </c>
      <c r="E178" s="21">
        <v>15.3</v>
      </c>
      <c r="F178" s="21">
        <v>17.8</v>
      </c>
      <c r="G178" s="21">
        <v>21.2</v>
      </c>
      <c r="H178" s="47">
        <f>H107*H92</f>
        <v>19.71403606289115</v>
      </c>
      <c r="I178" s="47">
        <f t="shared" ref="I178:M178" si="124">I107*I92</f>
        <v>22.506987037799785</v>
      </c>
      <c r="J178" s="47">
        <f t="shared" si="124"/>
        <v>23.677567204796617</v>
      </c>
      <c r="K178" s="47">
        <f t="shared" si="124"/>
        <v>25.71508643274645</v>
      </c>
      <c r="L178" s="47">
        <f t="shared" si="124"/>
        <v>27.589140822136944</v>
      </c>
      <c r="M178" s="47">
        <f t="shared" si="124"/>
        <v>29.534008289317356</v>
      </c>
    </row>
    <row r="179" spans="2:13" ht="15.75" customHeight="1" outlineLevel="1" x14ac:dyDescent="0.25">
      <c r="C179" s="182" t="s">
        <v>131</v>
      </c>
      <c r="D179" s="48" t="s">
        <v>168</v>
      </c>
      <c r="E179" s="21">
        <v>42.900000000000034</v>
      </c>
      <c r="F179" s="21">
        <v>-23.7</v>
      </c>
      <c r="G179" s="21">
        <v>-52.899999999999977</v>
      </c>
      <c r="H179" s="220">
        <f>G134-H134+G135-H135+G144-H144+H151-G151+H158-G158</f>
        <v>-9.4244247069610765</v>
      </c>
      <c r="I179" s="220">
        <f t="shared" ref="I179:M179" si="125">H134-I134+H135-I135+H144-I144+I151-H151+I158-H158</f>
        <v>-33.850268315796882</v>
      </c>
      <c r="J179" s="220">
        <f t="shared" si="125"/>
        <v>-19.004442025273306</v>
      </c>
      <c r="K179" s="220">
        <f t="shared" si="125"/>
        <v>-29.027144600943757</v>
      </c>
      <c r="L179" s="220">
        <f t="shared" si="125"/>
        <v>-26.891199206198962</v>
      </c>
      <c r="M179" s="220">
        <f t="shared" si="125"/>
        <v>-28.643532502430332</v>
      </c>
    </row>
    <row r="180" spans="2:13" ht="15.75" customHeight="1" outlineLevel="1" x14ac:dyDescent="0.25">
      <c r="C180" s="32" t="s">
        <v>66</v>
      </c>
      <c r="D180" s="106" t="s">
        <v>168</v>
      </c>
      <c r="E180" s="33">
        <f>SUM(E170:E179)</f>
        <v>178.8000000000001</v>
      </c>
      <c r="F180" s="33">
        <f>SUM(F170:F179)</f>
        <v>125.30000000000008</v>
      </c>
      <c r="G180" s="33">
        <f>SUM(G170:G179)</f>
        <v>158.7000000000001</v>
      </c>
      <c r="H180" s="33">
        <f>SUM(H170:H179)</f>
        <v>205.93798043125551</v>
      </c>
      <c r="I180" s="33">
        <f t="shared" ref="I180:M180" si="126">SUM(I170:I179)</f>
        <v>219.1518861547753</v>
      </c>
      <c r="J180" s="33">
        <f t="shared" si="126"/>
        <v>251.33220970903642</v>
      </c>
      <c r="K180" s="33">
        <f t="shared" si="126"/>
        <v>257.18442227457336</v>
      </c>
      <c r="L180" s="33">
        <f t="shared" si="126"/>
        <v>283.48953833779194</v>
      </c>
      <c r="M180" s="33">
        <f t="shared" si="126"/>
        <v>307.46238589096407</v>
      </c>
    </row>
    <row r="181" spans="2:13" ht="15.75" customHeight="1" outlineLevel="1" x14ac:dyDescent="0.25">
      <c r="C181" s="3"/>
      <c r="E181" s="23"/>
      <c r="F181" s="301"/>
      <c r="G181" s="301"/>
      <c r="H181" s="301"/>
      <c r="I181" s="301"/>
      <c r="J181" s="301"/>
      <c r="K181" s="301"/>
      <c r="L181" s="301"/>
      <c r="M181" s="301"/>
    </row>
    <row r="182" spans="2:13" ht="15.75" customHeight="1" outlineLevel="1" x14ac:dyDescent="0.25">
      <c r="B182" s="9" t="s">
        <v>160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5.75" customHeight="1" outlineLevel="1" x14ac:dyDescent="0.25">
      <c r="C183" s="169" t="s">
        <v>21</v>
      </c>
      <c r="D183" s="48" t="s">
        <v>168</v>
      </c>
      <c r="E183" s="21">
        <v>-203.7</v>
      </c>
      <c r="F183" s="21">
        <v>-233.1</v>
      </c>
      <c r="G183" s="21">
        <v>-165.7</v>
      </c>
      <c r="H183" s="121">
        <f>-H66-H58*H13</f>
        <v>-98.333333333333343</v>
      </c>
      <c r="I183" s="121">
        <f t="shared" ref="I183:M183" si="127">-I66-I58*I13</f>
        <v>-132.66666666666669</v>
      </c>
      <c r="J183" s="121">
        <f t="shared" si="127"/>
        <v>-167</v>
      </c>
      <c r="K183" s="121">
        <f t="shared" si="127"/>
        <v>-171.39999999999998</v>
      </c>
      <c r="L183" s="121">
        <f t="shared" si="127"/>
        <v>-139.11666666666667</v>
      </c>
      <c r="M183" s="121">
        <f t="shared" si="127"/>
        <v>-106.83333333333333</v>
      </c>
    </row>
    <row r="184" spans="2:13" ht="15.75" customHeight="1" outlineLevel="1" x14ac:dyDescent="0.25">
      <c r="C184" s="268" t="s">
        <v>190</v>
      </c>
      <c r="D184" s="48" t="s">
        <v>168</v>
      </c>
      <c r="E184" s="21">
        <v>34.1</v>
      </c>
      <c r="F184" s="21">
        <v>31.8</v>
      </c>
      <c r="G184" s="21">
        <v>33.1</v>
      </c>
      <c r="H184" s="47">
        <f>H107*H93</f>
        <v>35.862799197920275</v>
      </c>
      <c r="I184" s="47">
        <f t="shared" ref="I184:M184" si="128">I107*I93</f>
        <v>40.943597450659944</v>
      </c>
      <c r="J184" s="47">
        <f t="shared" si="128"/>
        <v>43.073058984571674</v>
      </c>
      <c r="K184" s="47">
        <f t="shared" si="128"/>
        <v>46.779613172702248</v>
      </c>
      <c r="L184" s="47">
        <f t="shared" si="128"/>
        <v>50.188800212752525</v>
      </c>
      <c r="M184" s="47">
        <f t="shared" si="128"/>
        <v>53.726806900959332</v>
      </c>
    </row>
    <row r="185" spans="2:13" ht="15.75" customHeight="1" outlineLevel="1" x14ac:dyDescent="0.25">
      <c r="C185" s="260" t="s">
        <v>162</v>
      </c>
      <c r="D185" s="45" t="s">
        <v>168</v>
      </c>
      <c r="E185" s="21">
        <v>-35.1</v>
      </c>
      <c r="F185" s="21">
        <v>-12.3</v>
      </c>
      <c r="G185" s="21">
        <v>-119.2</v>
      </c>
      <c r="H185" s="121">
        <f>H74</f>
        <v>-75</v>
      </c>
      <c r="I185" s="121">
        <f t="shared" ref="I185:M185" si="129">I74</f>
        <v>-75</v>
      </c>
      <c r="J185" s="121">
        <f t="shared" si="129"/>
        <v>-75</v>
      </c>
      <c r="K185" s="121">
        <f t="shared" si="129"/>
        <v>-75</v>
      </c>
      <c r="L185" s="121">
        <f t="shared" si="129"/>
        <v>-75</v>
      </c>
      <c r="M185" s="121">
        <f t="shared" si="129"/>
        <v>-75</v>
      </c>
    </row>
    <row r="186" spans="2:13" ht="15.75" customHeight="1" outlineLevel="1" x14ac:dyDescent="0.25">
      <c r="C186" s="32" t="s">
        <v>69</v>
      </c>
      <c r="D186" s="48" t="s">
        <v>168</v>
      </c>
      <c r="E186" s="33">
        <f>SUM(E183:E185)</f>
        <v>-204.7</v>
      </c>
      <c r="F186" s="33">
        <f>SUM(F183:F185)</f>
        <v>-213.6</v>
      </c>
      <c r="G186" s="33">
        <f>SUM(G183:G185)</f>
        <v>-251.8</v>
      </c>
      <c r="H186" s="33">
        <f>SUM(H183:H185)</f>
        <v>-137.47053413541306</v>
      </c>
      <c r="I186" s="33">
        <f t="shared" ref="I186:M186" si="130">SUM(I183:I185)</f>
        <v>-166.72306921600673</v>
      </c>
      <c r="J186" s="33">
        <f t="shared" si="130"/>
        <v>-198.92694101542833</v>
      </c>
      <c r="K186" s="33">
        <f t="shared" si="130"/>
        <v>-199.62038682729772</v>
      </c>
      <c r="L186" s="33">
        <f t="shared" si="130"/>
        <v>-163.92786645391413</v>
      </c>
      <c r="M186" s="33">
        <f t="shared" si="130"/>
        <v>-128.10652643237398</v>
      </c>
    </row>
    <row r="187" spans="2:13" ht="15.75" customHeight="1" outlineLevel="1" x14ac:dyDescent="0.25">
      <c r="C187" s="3"/>
      <c r="E187" s="23"/>
      <c r="F187" s="23"/>
      <c r="G187" s="24"/>
      <c r="H187" s="23"/>
      <c r="I187" s="23"/>
      <c r="J187" s="23"/>
      <c r="K187" s="23"/>
      <c r="L187" s="23"/>
      <c r="M187" s="23"/>
    </row>
    <row r="188" spans="2:13" ht="15.75" customHeight="1" outlineLevel="1" x14ac:dyDescent="0.25">
      <c r="B188" s="9" t="s">
        <v>161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5.75" customHeight="1" outlineLevel="1" x14ac:dyDescent="0.25">
      <c r="C189" s="261" t="s">
        <v>165</v>
      </c>
      <c r="D189" s="48" t="s">
        <v>168</v>
      </c>
      <c r="E189" s="21">
        <v>0</v>
      </c>
      <c r="F189" s="21">
        <v>0</v>
      </c>
      <c r="G189" s="21">
        <v>0</v>
      </c>
      <c r="H189" s="300">
        <f>H95</f>
        <v>0</v>
      </c>
      <c r="I189" s="300">
        <f t="shared" ref="I189:M189" si="131">I95</f>
        <v>0</v>
      </c>
      <c r="J189" s="300">
        <f t="shared" si="131"/>
        <v>0</v>
      </c>
      <c r="K189" s="300">
        <f t="shared" si="131"/>
        <v>0</v>
      </c>
      <c r="L189" s="300">
        <f t="shared" si="131"/>
        <v>0</v>
      </c>
      <c r="M189" s="300">
        <f t="shared" si="131"/>
        <v>0</v>
      </c>
    </row>
    <row r="190" spans="2:13" ht="15.75" customHeight="1" outlineLevel="1" x14ac:dyDescent="0.25">
      <c r="C190" s="261" t="s">
        <v>166</v>
      </c>
      <c r="D190" s="48" t="s">
        <v>168</v>
      </c>
      <c r="E190" s="21">
        <v>0</v>
      </c>
      <c r="F190" s="21">
        <v>0</v>
      </c>
      <c r="G190" s="21">
        <v>0</v>
      </c>
      <c r="H190" s="300">
        <f t="shared" ref="H190:M190" si="132">H96</f>
        <v>0</v>
      </c>
      <c r="I190" s="300">
        <f t="shared" si="132"/>
        <v>0</v>
      </c>
      <c r="J190" s="300">
        <f t="shared" si="132"/>
        <v>0</v>
      </c>
      <c r="K190" s="300">
        <f t="shared" si="132"/>
        <v>0</v>
      </c>
      <c r="L190" s="300">
        <f t="shared" si="132"/>
        <v>0</v>
      </c>
      <c r="M190" s="300">
        <f t="shared" si="132"/>
        <v>0</v>
      </c>
    </row>
    <row r="191" spans="2:13" ht="15.75" customHeight="1" outlineLevel="1" x14ac:dyDescent="0.25">
      <c r="C191" s="302" t="s">
        <v>257</v>
      </c>
      <c r="D191" s="48" t="s">
        <v>168</v>
      </c>
      <c r="E191" s="21">
        <v>0</v>
      </c>
      <c r="F191" s="21">
        <v>91.7</v>
      </c>
      <c r="G191" s="21">
        <v>0</v>
      </c>
      <c r="H191" s="300">
        <f>H101</f>
        <v>0</v>
      </c>
      <c r="I191" s="300">
        <f t="shared" ref="I191:M191" si="133">I101</f>
        <v>0</v>
      </c>
      <c r="J191" s="300">
        <f t="shared" si="133"/>
        <v>0</v>
      </c>
      <c r="K191" s="300">
        <f t="shared" si="133"/>
        <v>0</v>
      </c>
      <c r="L191" s="300">
        <f t="shared" si="133"/>
        <v>0</v>
      </c>
      <c r="M191" s="300">
        <f t="shared" si="133"/>
        <v>0</v>
      </c>
    </row>
    <row r="192" spans="2:13" ht="15.75" customHeight="1" outlineLevel="1" x14ac:dyDescent="0.25">
      <c r="C192" s="260" t="s">
        <v>163</v>
      </c>
      <c r="D192" s="48" t="s">
        <v>168</v>
      </c>
      <c r="E192" s="21">
        <v>35.1</v>
      </c>
      <c r="F192" s="21">
        <v>12.3</v>
      </c>
      <c r="G192" s="21">
        <v>119.2</v>
      </c>
      <c r="H192" s="121">
        <f>H75</f>
        <v>75</v>
      </c>
      <c r="I192" s="121">
        <f t="shared" ref="I192:M192" si="134">I75</f>
        <v>75</v>
      </c>
      <c r="J192" s="121">
        <f t="shared" si="134"/>
        <v>75</v>
      </c>
      <c r="K192" s="121">
        <f t="shared" si="134"/>
        <v>75</v>
      </c>
      <c r="L192" s="121">
        <f t="shared" si="134"/>
        <v>75</v>
      </c>
      <c r="M192" s="121">
        <f t="shared" si="134"/>
        <v>75</v>
      </c>
    </row>
    <row r="193" spans="3:13" ht="15.75" customHeight="1" outlineLevel="1" x14ac:dyDescent="0.25">
      <c r="C193" s="260" t="s">
        <v>164</v>
      </c>
      <c r="D193" s="48" t="s">
        <v>168</v>
      </c>
      <c r="E193" s="21">
        <v>-17.600000000000001</v>
      </c>
      <c r="F193" s="21">
        <v>-23.999999999999972</v>
      </c>
      <c r="G193" s="21">
        <v>-29.10000000000003</v>
      </c>
      <c r="H193" s="121">
        <f>-H72*H13</f>
        <v>-22.750000000000004</v>
      </c>
      <c r="I193" s="121">
        <f t="shared" ref="I193:M193" si="135">-I72*I13</f>
        <v>-23.1</v>
      </c>
      <c r="J193" s="121">
        <f t="shared" si="135"/>
        <v>-23.450000000000003</v>
      </c>
      <c r="K193" s="121">
        <f t="shared" si="135"/>
        <v>-27.2</v>
      </c>
      <c r="L193" s="121">
        <f t="shared" si="135"/>
        <v>-27.6</v>
      </c>
      <c r="M193" s="121">
        <f t="shared" si="135"/>
        <v>-28</v>
      </c>
    </row>
    <row r="194" spans="3:13" ht="15.75" customHeight="1" outlineLevel="1" x14ac:dyDescent="0.25">
      <c r="C194" s="261" t="s">
        <v>167</v>
      </c>
      <c r="D194" s="44" t="s">
        <v>168</v>
      </c>
      <c r="E194" s="21">
        <v>0</v>
      </c>
      <c r="F194" s="21">
        <v>0</v>
      </c>
      <c r="G194" s="21">
        <v>0</v>
      </c>
      <c r="H194" s="121">
        <f>H102</f>
        <v>0</v>
      </c>
      <c r="I194" s="121">
        <f t="shared" ref="I194:M194" si="136">I102</f>
        <v>0</v>
      </c>
      <c r="J194" s="121">
        <f t="shared" si="136"/>
        <v>0</v>
      </c>
      <c r="K194" s="121">
        <f t="shared" si="136"/>
        <v>0</v>
      </c>
      <c r="L194" s="121">
        <f t="shared" si="136"/>
        <v>0</v>
      </c>
      <c r="M194" s="121">
        <f t="shared" si="136"/>
        <v>0</v>
      </c>
    </row>
    <row r="195" spans="3:13" ht="15.75" customHeight="1" outlineLevel="1" x14ac:dyDescent="0.25">
      <c r="C195" s="32" t="s">
        <v>169</v>
      </c>
      <c r="D195" s="106" t="s">
        <v>168</v>
      </c>
      <c r="E195" s="33">
        <f>SUM(E189:E194)</f>
        <v>17.5</v>
      </c>
      <c r="F195" s="33">
        <f t="shared" ref="F195:G195" si="137">SUM(F189:F194)</f>
        <v>80.000000000000028</v>
      </c>
      <c r="G195" s="33">
        <f t="shared" si="137"/>
        <v>90.099999999999966</v>
      </c>
      <c r="H195" s="33">
        <f>SUM(H189:H194)</f>
        <v>52.25</v>
      </c>
      <c r="I195" s="33">
        <f t="shared" ref="I195:M195" si="138">SUM(I189:I194)</f>
        <v>51.9</v>
      </c>
      <c r="J195" s="33">
        <f t="shared" si="138"/>
        <v>51.55</v>
      </c>
      <c r="K195" s="33">
        <f t="shared" si="138"/>
        <v>47.8</v>
      </c>
      <c r="L195" s="33">
        <f t="shared" si="138"/>
        <v>47.4</v>
      </c>
      <c r="M195" s="33">
        <f t="shared" si="138"/>
        <v>47</v>
      </c>
    </row>
    <row r="196" spans="3:13" ht="15.75" customHeight="1" outlineLevel="1" x14ac:dyDescent="0.25"/>
    <row r="197" spans="3:13" ht="15.75" customHeight="1" outlineLevel="1" x14ac:dyDescent="0.25">
      <c r="C197" s="3" t="s">
        <v>189</v>
      </c>
      <c r="D197" s="48" t="s">
        <v>168</v>
      </c>
      <c r="E197" s="265">
        <f>E180+E186+E195</f>
        <v>-8.399999999999892</v>
      </c>
      <c r="F197" s="265">
        <f t="shared" ref="F197:G197" si="139">F180+F186+F195</f>
        <v>-8.2999999999998835</v>
      </c>
      <c r="G197" s="265">
        <f t="shared" si="139"/>
        <v>-2.9999999999999432</v>
      </c>
      <c r="H197" s="265">
        <f>H180+H186+H195</f>
        <v>120.71744629584245</v>
      </c>
      <c r="I197" s="265">
        <f t="shared" ref="I197:M197" si="140">I180+I186+I195</f>
        <v>104.32881693876857</v>
      </c>
      <c r="J197" s="265">
        <f t="shared" si="140"/>
        <v>103.95526869360809</v>
      </c>
      <c r="K197" s="265">
        <f t="shared" si="140"/>
        <v>105.36403544727564</v>
      </c>
      <c r="L197" s="265">
        <f t="shared" si="140"/>
        <v>166.96167188387781</v>
      </c>
      <c r="M197" s="265">
        <f t="shared" si="140"/>
        <v>226.35585945859009</v>
      </c>
    </row>
  </sheetData>
  <pageMargins left="0.7" right="0.7" top="0.75" bottom="0.75" header="0.3" footer="0.3"/>
  <pageSetup scale="43" orientation="portrait" horizontalDpi="1200" verticalDpi="1200" r:id="rId1"/>
  <rowBreaks count="5" manualBreakCount="5">
    <brk id="37" max="13" man="1"/>
    <brk id="81" max="13" man="1"/>
    <brk id="103" max="13" man="1"/>
    <brk id="128" max="13" man="1"/>
    <brk id="166" max="13" man="1"/>
  </rowBreaks>
  <ignoredErrors>
    <ignoredError sqref="I27" formulaRange="1"/>
    <ignoredError sqref="H1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38</vt:i4>
      </vt:variant>
    </vt:vector>
  </HeadingPairs>
  <TitlesOfParts>
    <vt:vector size="40" baseType="lpstr">
      <vt:lpstr>LBO_4_Hours</vt:lpstr>
      <vt:lpstr>Fin_Projections</vt:lpstr>
      <vt:lpstr>CapEx_per_Plant</vt:lpstr>
      <vt:lpstr>Circ_Ref</vt:lpstr>
      <vt:lpstr>Close_Date</vt:lpstr>
      <vt:lpstr>Company_Name</vt:lpstr>
      <vt:lpstr>Def_Liv_Intang</vt:lpstr>
      <vt:lpstr>Div_Recap_Multiple</vt:lpstr>
      <vt:lpstr>Div_Recap_Year</vt:lpstr>
      <vt:lpstr>Exit_Multiple</vt:lpstr>
      <vt:lpstr>Exit_Year</vt:lpstr>
      <vt:lpstr>Goodwill</vt:lpstr>
      <vt:lpstr>Goodwill_Amort_Pct</vt:lpstr>
      <vt:lpstr>Hist_Year</vt:lpstr>
      <vt:lpstr>Intang_Amort</vt:lpstr>
      <vt:lpstr>Investor_Equity</vt:lpstr>
      <vt:lpstr>Issuance_Fee_Amort_Period</vt:lpstr>
      <vt:lpstr>Issuance_Fee_Pct</vt:lpstr>
      <vt:lpstr>Issuance_Fees</vt:lpstr>
      <vt:lpstr>Lease_Value_per_Facility</vt:lpstr>
      <vt:lpstr>LTM_EBITDA</vt:lpstr>
      <vt:lpstr>Max_Revolver</vt:lpstr>
      <vt:lpstr>Mgmt_Tier_1_Multiple</vt:lpstr>
      <vt:lpstr>Mgmt_Tier_1_Pct</vt:lpstr>
      <vt:lpstr>Mgmt_Tier_2_Multiple</vt:lpstr>
      <vt:lpstr>Mgmt_Tier_2_Pct</vt:lpstr>
      <vt:lpstr>Min_WC</vt:lpstr>
      <vt:lpstr>OID</vt:lpstr>
      <vt:lpstr>OID_Amort_Period</vt:lpstr>
      <vt:lpstr>Plant_Constr_Time</vt:lpstr>
      <vt:lpstr>Plant_Depr_Period</vt:lpstr>
      <vt:lpstr>Post_Txn_Stub</vt:lpstr>
      <vt:lpstr>PPE_Depr</vt:lpstr>
      <vt:lpstr>PPE_Writeup</vt:lpstr>
      <vt:lpstr>Pre_Txn_Stub</vt:lpstr>
      <vt:lpstr>Fin_Projections!Print_Area</vt:lpstr>
      <vt:lpstr>LBO_4_Hours!Print_Area</vt:lpstr>
      <vt:lpstr>Purchase_Multiple</vt:lpstr>
      <vt:lpstr>Scenario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dcterms:created xsi:type="dcterms:W3CDTF">2016-10-28T03:10:17Z</dcterms:created>
  <dcterms:modified xsi:type="dcterms:W3CDTF">2021-06-24T17:44:48Z</dcterms:modified>
</cp:coreProperties>
</file>